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S:\Quality  Folder\Conflict Materials\CMRT Docs\"/>
    </mc:Choice>
  </mc:AlternateContent>
  <xr:revisionPtr revIDLastSave="0" documentId="8_{D24651F0-A834-48A5-8AC5-8A7A401905D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57720" yWindow="-3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6" i="5" l="1"/>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V116" i="5"/>
  <c r="E116" i="5"/>
  <c r="X116" i="5" s="1"/>
  <c r="V117" i="5"/>
  <c r="E117" i="5"/>
  <c r="X117" i="5" s="1"/>
  <c r="V118" i="5"/>
  <c r="E118" i="5"/>
  <c r="X118" i="5" s="1"/>
  <c r="V119" i="5"/>
  <c r="E119" i="5"/>
  <c r="X119" i="5" s="1"/>
  <c r="V120" i="5"/>
  <c r="E120" i="5"/>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V157" i="5"/>
  <c r="E157" i="5"/>
  <c r="X157" i="5" s="1"/>
  <c r="V158" i="5"/>
  <c r="E158" i="5"/>
  <c r="X158" i="5" s="1"/>
  <c r="V159" i="5"/>
  <c r="E159" i="5"/>
  <c r="X159" i="5" s="1"/>
  <c r="V160" i="5"/>
  <c r="E160" i="5"/>
  <c r="X160" i="5" s="1"/>
  <c r="V161" i="5"/>
  <c r="E161" i="5"/>
  <c r="X161" i="5" s="1"/>
  <c r="V162" i="5"/>
  <c r="E162" i="5"/>
  <c r="X162" i="5" s="1"/>
  <c r="V163" i="5"/>
  <c r="E163" i="5"/>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V237" i="5"/>
  <c r="E237" i="5"/>
  <c r="X237" i="5" s="1"/>
  <c r="V238" i="5"/>
  <c r="E238" i="5"/>
  <c r="X238" i="5" s="1"/>
  <c r="V239" i="5"/>
  <c r="E239" i="5"/>
  <c r="X239" i="5" s="1"/>
  <c r="V240" i="5"/>
  <c r="E240" i="5"/>
  <c r="X240" i="5" s="1"/>
  <c r="V241" i="5"/>
  <c r="E241" i="5"/>
  <c r="X241" i="5" s="1"/>
  <c r="V242" i="5"/>
  <c r="E242" i="5"/>
  <c r="X242" i="5" s="1"/>
  <c r="V243" i="5"/>
  <c r="E243" i="5"/>
  <c r="V244" i="5"/>
  <c r="E244" i="5"/>
  <c r="V245" i="5"/>
  <c r="E245" i="5"/>
  <c r="X245" i="5" s="1"/>
  <c r="V246" i="5"/>
  <c r="E246" i="5"/>
  <c r="X246" i="5" s="1"/>
  <c r="V247" i="5"/>
  <c r="E247" i="5"/>
  <c r="X247" i="5" s="1"/>
  <c r="V248" i="5"/>
  <c r="E248" i="5"/>
  <c r="X248" i="5" s="1"/>
  <c r="V249" i="5"/>
  <c r="E249" i="5"/>
  <c r="X249" i="5" s="1"/>
  <c r="V250" i="5"/>
  <c r="E250" i="5"/>
  <c r="X250" i="5" s="1"/>
  <c r="V251" i="5"/>
  <c r="E251" i="5"/>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V261" i="5"/>
  <c r="E261" i="5"/>
  <c r="X261" i="5" s="1"/>
  <c r="V262" i="5"/>
  <c r="E262" i="5"/>
  <c r="X262" i="5" s="1"/>
  <c r="V263" i="5"/>
  <c r="E263" i="5"/>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V280" i="5"/>
  <c r="E280" i="5"/>
  <c r="X280" i="5" s="1"/>
  <c r="V281" i="5"/>
  <c r="E281" i="5"/>
  <c r="X281" i="5" s="1"/>
  <c r="V282" i="5"/>
  <c r="E282" i="5"/>
  <c r="X282" i="5" s="1"/>
  <c r="V283" i="5"/>
  <c r="E283" i="5"/>
  <c r="X283" i="5" s="1"/>
  <c r="V284" i="5"/>
  <c r="E284" i="5"/>
  <c r="X284" i="5" s="1"/>
  <c r="V285" i="5"/>
  <c r="E285" i="5"/>
  <c r="X285" i="5" s="1"/>
  <c r="V286" i="5"/>
  <c r="E286" i="5"/>
  <c r="X286" i="5" s="1"/>
  <c r="V287" i="5"/>
  <c r="E287" i="5"/>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X306" i="5" s="1"/>
  <c r="V307" i="5"/>
  <c r="E307" i="5"/>
  <c r="X307" i="5" s="1"/>
  <c r="V308" i="5"/>
  <c r="E308" i="5"/>
  <c r="V309" i="5"/>
  <c r="E309" i="5"/>
  <c r="X309" i="5" s="1"/>
  <c r="V310" i="5"/>
  <c r="E310" i="5"/>
  <c r="X310" i="5" s="1"/>
  <c r="V311" i="5"/>
  <c r="E311" i="5"/>
  <c r="V312" i="5"/>
  <c r="E312" i="5"/>
  <c r="X312" i="5" s="1"/>
  <c r="V313" i="5"/>
  <c r="E313" i="5"/>
  <c r="X313" i="5" s="1"/>
  <c r="V314" i="5"/>
  <c r="E314" i="5"/>
  <c r="X314" i="5" s="1"/>
  <c r="V315" i="5"/>
  <c r="E315" i="5"/>
  <c r="V316" i="5"/>
  <c r="E316" i="5"/>
  <c r="X316" i="5" s="1"/>
  <c r="V317" i="5"/>
  <c r="E317" i="5"/>
  <c r="X317" i="5" s="1"/>
  <c r="V318" i="5"/>
  <c r="E318" i="5"/>
  <c r="X318" i="5" s="1"/>
  <c r="V319" i="5"/>
  <c r="E319" i="5"/>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X343" i="5" s="1"/>
  <c r="V344" i="5"/>
  <c r="E344" i="5"/>
  <c r="X344" i="5" s="1"/>
  <c r="V345" i="5"/>
  <c r="E345" i="5"/>
  <c r="X345" i="5" s="1"/>
  <c r="V346" i="5"/>
  <c r="E346" i="5"/>
  <c r="X346" i="5" s="1"/>
  <c r="V347" i="5"/>
  <c r="E347" i="5"/>
  <c r="V348" i="5"/>
  <c r="E348" i="5"/>
  <c r="X348" i="5" s="1"/>
  <c r="V349" i="5"/>
  <c r="E349" i="5"/>
  <c r="X349" i="5" s="1"/>
  <c r="V350" i="5"/>
  <c r="E350" i="5"/>
  <c r="X350" i="5" s="1"/>
  <c r="V351" i="5"/>
  <c r="E351" i="5"/>
  <c r="X351" i="5" s="1"/>
  <c r="V352" i="5"/>
  <c r="E352" i="5"/>
  <c r="X352" i="5" s="1"/>
  <c r="V353" i="5"/>
  <c r="E353" i="5"/>
  <c r="X353" i="5" s="1"/>
  <c r="V354" i="5"/>
  <c r="E354" i="5"/>
  <c r="X354" i="5" s="1"/>
  <c r="V355" i="5"/>
  <c r="E355" i="5"/>
  <c r="V356" i="5"/>
  <c r="E356" i="5"/>
  <c r="X356" i="5" s="1"/>
  <c r="V357" i="5"/>
  <c r="E357" i="5"/>
  <c r="X357" i="5" s="1"/>
  <c r="V358" i="5"/>
  <c r="E358" i="5"/>
  <c r="V359" i="5"/>
  <c r="E359" i="5"/>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V556" i="5"/>
  <c r="E556" i="5"/>
  <c r="X556" i="5" s="1"/>
  <c r="V557" i="5"/>
  <c r="E557" i="5"/>
  <c r="X557" i="5" s="1"/>
  <c r="V558" i="5"/>
  <c r="E558" i="5"/>
  <c r="X558" i="5" s="1"/>
  <c r="V559" i="5"/>
  <c r="E559" i="5"/>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V580" i="5"/>
  <c r="E580" i="5"/>
  <c r="X580" i="5" s="1"/>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X629" i="5" s="1"/>
  <c r="V630" i="5"/>
  <c r="E630" i="5"/>
  <c r="X630" i="5" s="1"/>
  <c r="V631" i="5"/>
  <c r="E631" i="5"/>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V664" i="5"/>
  <c r="E664" i="5"/>
  <c r="X664" i="5" s="1"/>
  <c r="V665" i="5"/>
  <c r="E665" i="5"/>
  <c r="X665" i="5" s="1"/>
  <c r="V666" i="5"/>
  <c r="E666" i="5"/>
  <c r="X666" i="5" s="1"/>
  <c r="V667" i="5"/>
  <c r="E667" i="5"/>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V684" i="5"/>
  <c r="E684" i="5"/>
  <c r="X684" i="5" s="1"/>
  <c r="V685" i="5"/>
  <c r="E685" i="5"/>
  <c r="X685" i="5" s="1"/>
  <c r="V686" i="5"/>
  <c r="E686" i="5"/>
  <c r="X686" i="5" s="1"/>
  <c r="V687" i="5"/>
  <c r="E687" i="5"/>
  <c r="X687" i="5" s="1"/>
  <c r="V688" i="5"/>
  <c r="E688" i="5"/>
  <c r="X688" i="5" s="1"/>
  <c r="V689" i="5"/>
  <c r="E689" i="5"/>
  <c r="X689" i="5" s="1"/>
  <c r="V690" i="5"/>
  <c r="E690" i="5"/>
  <c r="X690" i="5" s="1"/>
  <c r="V691" i="5"/>
  <c r="E691" i="5"/>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V884" i="5"/>
  <c r="E884" i="5"/>
  <c r="X884" i="5" s="1"/>
  <c r="V885" i="5"/>
  <c r="E885" i="5"/>
  <c r="X885" i="5" s="1"/>
  <c r="V886" i="5"/>
  <c r="E886" i="5"/>
  <c r="X886" i="5" s="1"/>
  <c r="V887" i="5"/>
  <c r="E887" i="5"/>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V940" i="5"/>
  <c r="E940" i="5"/>
  <c r="X940" i="5" s="1"/>
  <c r="V941" i="5"/>
  <c r="E941" i="5"/>
  <c r="X941" i="5" s="1"/>
  <c r="V942" i="5"/>
  <c r="E942" i="5"/>
  <c r="X942" i="5" s="1"/>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s="1"/>
  <c r="B56" i="6"/>
  <c r="G56" i="6"/>
  <c r="B55" i="6"/>
  <c r="G55" i="6" s="1"/>
  <c r="B54" i="6"/>
  <c r="G54" i="6" s="1"/>
  <c r="B17" i="6"/>
  <c r="B22" i="6" s="1"/>
  <c r="B16" i="6"/>
  <c r="B15" i="6"/>
  <c r="F20" i="6" s="1"/>
  <c r="B14" i="6"/>
  <c r="G14" i="6" s="1"/>
  <c r="H14" i="6" s="1"/>
  <c r="H13" i="6"/>
  <c r="B12" i="6"/>
  <c r="G12" i="6" s="1"/>
  <c r="H12" i="6" s="1"/>
  <c r="D12" i="6" s="1"/>
  <c r="B11" i="6"/>
  <c r="G11" i="6"/>
  <c r="H11" i="6" s="1"/>
  <c r="D11" i="6" s="1"/>
  <c r="G9" i="6"/>
  <c r="H9" i="6" s="1"/>
  <c r="D9" i="6" s="1"/>
  <c r="B8" i="6"/>
  <c r="G8" i="6" s="1"/>
  <c r="H8" i="6" s="1"/>
  <c r="D8" i="6" s="1"/>
  <c r="B7" i="6"/>
  <c r="G7" i="6" s="1"/>
  <c r="H7" i="6" s="1"/>
  <c r="D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B90" i="4"/>
  <c r="H67" i="4"/>
  <c r="P47" i="4"/>
  <c r="P46" i="4"/>
  <c r="P45" i="4"/>
  <c r="B45" i="4" s="1"/>
  <c r="A30" i="6" s="1"/>
  <c r="P44" i="4"/>
  <c r="P43" i="4"/>
  <c r="Q43" i="4" s="1"/>
  <c r="P41" i="4"/>
  <c r="P40" i="4"/>
  <c r="B40" i="4" s="1"/>
  <c r="P39" i="4"/>
  <c r="B39" i="4" s="1"/>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127" i="5"/>
  <c r="R127" i="5"/>
  <c r="J127" i="5"/>
  <c r="I127" i="5"/>
  <c r="AB895" i="5"/>
  <c r="S895" i="5"/>
  <c r="AB1863" i="5"/>
  <c r="S1863" i="5"/>
  <c r="H123" i="5"/>
  <c r="J123" i="5"/>
  <c r="I123" i="5"/>
  <c r="R189" i="5"/>
  <c r="AB210" i="5"/>
  <c r="R225" i="5"/>
  <c r="F225" i="5"/>
  <c r="F309" i="5"/>
  <c r="F357" i="5"/>
  <c r="R463" i="5"/>
  <c r="F586" i="5"/>
  <c r="I714" i="5"/>
  <c r="J714" i="5"/>
  <c r="S738" i="5"/>
  <c r="AB170" i="5"/>
  <c r="H452" i="5"/>
  <c r="F452" i="5"/>
  <c r="S1497" i="5"/>
  <c r="I126" i="5"/>
  <c r="H126" i="5"/>
  <c r="H147" i="5"/>
  <c r="I147" i="5"/>
  <c r="F147" i="5"/>
  <c r="R237" i="5"/>
  <c r="F237" i="5"/>
  <c r="J262" i="5"/>
  <c r="AB262" i="5"/>
  <c r="AB298" i="5"/>
  <c r="F451" i="5"/>
  <c r="R453" i="5"/>
  <c r="J453" i="5"/>
  <c r="H453" i="5"/>
  <c r="F453" i="5"/>
  <c r="H107" i="5"/>
  <c r="I107" i="5"/>
  <c r="R125" i="5"/>
  <c r="AB1447" i="5"/>
  <c r="S1447" i="5"/>
  <c r="AB114" i="5"/>
  <c r="R123" i="5"/>
  <c r="H167" i="5"/>
  <c r="R167" i="5"/>
  <c r="H187" i="5"/>
  <c r="R187" i="5"/>
  <c r="I187" i="5"/>
  <c r="I275" i="5"/>
  <c r="F275" i="5"/>
  <c r="I361" i="5"/>
  <c r="J361" i="5"/>
  <c r="H361" i="5"/>
  <c r="F361" i="5"/>
  <c r="I479" i="5"/>
  <c r="H479" i="5"/>
  <c r="F574" i="5"/>
  <c r="S641"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09" i="5"/>
  <c r="R109"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H135" i="5"/>
  <c r="F135" i="5"/>
  <c r="R135" i="5"/>
  <c r="J135" i="5"/>
  <c r="I135" i="5"/>
  <c r="H159" i="5"/>
  <c r="R159" i="5"/>
  <c r="J159" i="5"/>
  <c r="I159" i="5"/>
  <c r="F159" i="5"/>
  <c r="I373" i="5"/>
  <c r="R373" i="5"/>
  <c r="J373" i="5"/>
  <c r="H373" i="5"/>
  <c r="F373" i="5"/>
  <c r="F129" i="5"/>
  <c r="H199" i="5"/>
  <c r="R199" i="5"/>
  <c r="J199" i="5"/>
  <c r="I199" i="5"/>
  <c r="F199" i="5"/>
  <c r="H131" i="5"/>
  <c r="F131" i="5"/>
  <c r="I131" i="5"/>
  <c r="R131" i="5"/>
  <c r="J131"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H118" i="5"/>
  <c r="F122" i="5"/>
  <c r="R122" i="5"/>
  <c r="J122" i="5"/>
  <c r="J125" i="5"/>
  <c r="I125" i="5"/>
  <c r="H12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c r="H6" i="6"/>
  <c r="D6"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49" i="6" s="1"/>
  <c r="G49" i="6" s="1"/>
  <c r="A38" i="2"/>
  <c r="J4" i="5"/>
  <c r="B41" i="4"/>
  <c r="B59" i="4" s="1"/>
  <c r="A4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8" i="1"/>
  <c r="F4" i="8"/>
  <c r="H4" i="8"/>
  <c r="I4" i="8"/>
  <c r="C4" i="8"/>
  <c r="S150" i="5"/>
  <c r="S491" i="5"/>
  <c r="S511" i="5"/>
  <c r="S147" i="5"/>
  <c r="S193" i="5"/>
  <c r="S203" i="5"/>
  <c r="S167" i="5"/>
  <c r="S247" i="5"/>
  <c r="S344" i="5"/>
  <c r="S397" i="5"/>
  <c r="S401" i="5"/>
  <c r="S409" i="5"/>
  <c r="S372" i="5"/>
  <c r="S437" i="5"/>
  <c r="S428" i="5"/>
  <c r="S452" i="5"/>
  <c r="S548" i="5"/>
  <c r="S377" i="5"/>
  <c r="S349" i="5"/>
  <c r="S539" i="5"/>
  <c r="S169" i="5"/>
  <c r="S123" i="5"/>
  <c r="S177" i="5"/>
  <c r="S361" i="5"/>
  <c r="S219" i="5"/>
  <c r="S295" i="5"/>
  <c r="S417" i="5"/>
  <c r="S432" i="5"/>
  <c r="S560" i="5"/>
  <c r="S510" i="5"/>
  <c r="S106" i="5"/>
  <c r="S341" i="5"/>
  <c r="S161" i="5"/>
  <c r="S171" i="5"/>
  <c r="S113" i="5"/>
  <c r="S145" i="5"/>
  <c r="S135" i="5"/>
  <c r="S267" i="5"/>
  <c r="S275" i="5"/>
  <c r="S388" i="5"/>
  <c r="S429" i="5"/>
  <c r="S449" i="5"/>
  <c r="S457" i="5"/>
  <c r="S436" i="5"/>
  <c r="S190" i="5"/>
  <c r="S229" i="5"/>
  <c r="S237" i="5"/>
  <c r="S225" i="5"/>
  <c r="S179"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47" i="5"/>
  <c r="S598" i="5"/>
  <c r="X483" i="5"/>
  <c r="X555" i="5"/>
  <c r="X387" i="5"/>
  <c r="X559" i="5"/>
  <c r="S532" i="5"/>
  <c r="S356" i="5"/>
  <c r="S343" i="5"/>
  <c r="X331" i="5"/>
  <c r="X335" i="5"/>
  <c r="X315" i="5"/>
  <c r="S315" i="5"/>
  <c r="X311" i="5"/>
  <c r="S357" i="5"/>
  <c r="X383" i="5"/>
  <c r="S383" i="5"/>
  <c r="X31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1" i="6"/>
  <c r="G3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25" i="6"/>
  <c r="G25" i="6" s="1"/>
  <c r="B35" i="6"/>
  <c r="G35" i="6" s="1"/>
  <c r="F24" i="6"/>
  <c r="B44" i="6"/>
  <c r="G44" i="6" s="1"/>
  <c r="B29" i="6"/>
  <c r="G29" i="6"/>
  <c r="B24" i="6"/>
  <c r="G24" i="6"/>
  <c r="F2426" i="5"/>
  <c r="R2426" i="5"/>
  <c r="J2426" i="5"/>
  <c r="I2426" i="5"/>
  <c r="H2426" i="5"/>
  <c r="D5" i="6"/>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B46" i="6"/>
  <c r="G46" i="6" s="1"/>
  <c r="B26" i="6"/>
  <c r="G26" i="6" s="1"/>
  <c r="G21" i="6"/>
  <c r="H21" i="6" s="1"/>
  <c r="B36" i="6"/>
  <c r="G36" i="6"/>
  <c r="B45" i="6"/>
  <c r="G45"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F39" i="6"/>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8" i="5"/>
  <c r="S109" i="5"/>
  <c r="S245" i="5"/>
  <c r="S492" i="5"/>
  <c r="S322" i="5"/>
  <c r="S456" i="5"/>
  <c r="S376" i="5"/>
  <c r="S504" i="5"/>
  <c r="S323" i="5"/>
  <c r="S483" i="5"/>
  <c r="S488" i="5"/>
  <c r="S590" i="5"/>
  <c r="S368" i="5"/>
  <c r="S530" i="5"/>
  <c r="S480" i="5"/>
  <c r="S234" i="5"/>
  <c r="S185" i="5"/>
  <c r="S290" i="5"/>
  <c r="S182" i="5"/>
  <c r="S110" i="5"/>
  <c r="S531" i="5"/>
  <c r="S399" i="5"/>
  <c r="S250" i="5"/>
  <c r="S345" i="5"/>
  <c r="S321" i="5"/>
  <c r="S528" i="5"/>
  <c r="S141" i="5"/>
  <c r="S516" i="5"/>
  <c r="S594"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107" i="5"/>
  <c r="S285" i="5"/>
  <c r="S266" i="5"/>
  <c r="S540" i="5"/>
  <c r="S520" i="5"/>
  <c r="S186" i="5"/>
  <c r="S550" i="5"/>
  <c r="S165" i="5"/>
  <c r="S338" i="5"/>
  <c r="S536" i="5"/>
  <c r="S310" i="5"/>
  <c r="S498" i="5"/>
  <c r="S122" i="5"/>
  <c r="S484" i="5"/>
  <c r="S471" i="5"/>
  <c r="S298" i="5"/>
  <c r="S142" i="5"/>
  <c r="S515" i="5"/>
  <c r="S289" i="5"/>
  <c r="S181" i="5"/>
  <c r="S313" i="5"/>
  <c r="S242" i="5"/>
  <c r="S307" i="5"/>
  <c r="S337" i="5"/>
  <c r="S555" i="5"/>
  <c r="S570" i="5"/>
  <c r="S154" i="5"/>
  <c r="S301" i="5"/>
  <c r="S246" i="5"/>
  <c r="S254" i="5"/>
  <c r="S206" i="5"/>
  <c r="S325" i="5"/>
  <c r="S527" i="5"/>
  <c r="S369" i="5"/>
  <c r="S381" i="5"/>
  <c r="S309" i="5"/>
  <c r="S597" i="5"/>
  <c r="X599" i="5"/>
  <c r="S599" i="5"/>
  <c r="X611" i="5"/>
  <c r="S611" i="5"/>
  <c r="S601" i="5"/>
  <c r="X427" i="5"/>
  <c r="X287" i="5"/>
  <c r="X407" i="5"/>
  <c r="X375" i="5"/>
  <c r="X244" i="5"/>
  <c r="X339" i="5"/>
  <c r="X359" i="5"/>
  <c r="X591" i="5"/>
  <c r="X595" i="5"/>
  <c r="X411" i="5"/>
  <c r="X439" i="5"/>
  <c r="S600" i="5"/>
  <c r="X251" i="5"/>
  <c r="X423" i="5"/>
  <c r="X191" i="5"/>
  <c r="X243" i="5"/>
  <c r="X403" i="5"/>
  <c r="X308" i="5"/>
  <c r="S382" i="5"/>
  <c r="X475" i="5"/>
  <c r="X236" i="5"/>
  <c r="X431" i="5"/>
  <c r="X207" i="5"/>
  <c r="X395" i="5"/>
  <c r="X115" i="5"/>
  <c r="S533" i="5"/>
  <c r="X355" i="5"/>
  <c r="S355" i="5"/>
  <c r="X391" i="5"/>
  <c r="S602" i="5"/>
  <c r="X587" i="5"/>
  <c r="X156" i="5"/>
  <c r="X358" i="5"/>
  <c r="X603" i="5"/>
  <c r="S603" i="5"/>
  <c r="X260" i="5"/>
  <c r="S605" i="5"/>
  <c r="X279" i="5"/>
  <c r="X163" i="5"/>
  <c r="X607" i="5"/>
  <c r="S607" i="5"/>
  <c r="X579" i="5"/>
  <c r="X303" i="5"/>
  <c r="X211" i="5"/>
  <c r="X435" i="5"/>
  <c r="S314" i="5"/>
  <c r="X463" i="5"/>
  <c r="X120" i="5"/>
  <c r="X583" i="5"/>
  <c r="X419" i="5"/>
  <c r="X415"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08" i="5"/>
  <c r="S168" i="5"/>
  <c r="S308" i="5"/>
  <c r="S208" i="5"/>
  <c r="S288" i="5"/>
  <c r="S475" i="5"/>
  <c r="S236" i="5"/>
  <c r="S529" i="5"/>
  <c r="S334" i="5"/>
  <c r="S306" i="5"/>
  <c r="S458" i="5"/>
  <c r="S386" i="5"/>
  <c r="S534" i="5"/>
  <c r="S330" i="5"/>
  <c r="S262" i="5"/>
  <c r="S587" i="5"/>
  <c r="S156" i="5"/>
  <c r="S124"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4" i="6" a="1"/>
  <c r="C88" i="5" l="1"/>
  <c r="C80" i="5"/>
  <c r="G20" i="6"/>
  <c r="C53" i="5"/>
  <c r="B40" i="6"/>
  <c r="G40" i="6" s="1"/>
  <c r="B50" i="6"/>
  <c r="G50" i="6" s="1"/>
  <c r="B30" i="6"/>
  <c r="G30" i="6" s="1"/>
  <c r="C41" i="5"/>
  <c r="C82" i="5"/>
  <c r="C57" i="5"/>
  <c r="C105" i="5"/>
  <c r="C74" i="5"/>
  <c r="C33" i="5"/>
  <c r="C104" i="5"/>
  <c r="C72" i="5"/>
  <c r="C31" i="5"/>
  <c r="C96" i="5"/>
  <c r="C66" i="5"/>
  <c r="C29" i="5"/>
  <c r="C90" i="5"/>
  <c r="C64" i="5"/>
  <c r="C28" i="5"/>
  <c r="C89" i="5"/>
  <c r="C59" i="5"/>
  <c r="C15" i="5"/>
  <c r="C98" i="5"/>
  <c r="C75" i="5"/>
  <c r="C55" i="5"/>
  <c r="C19" i="5"/>
  <c r="C91" i="5"/>
  <c r="C73" i="5"/>
  <c r="C44" i="5"/>
  <c r="C7" i="5"/>
  <c r="B89" i="5"/>
  <c r="B84" i="5"/>
  <c r="C97" i="5"/>
  <c r="C81" i="5"/>
  <c r="C65" i="5"/>
  <c r="C43" i="5"/>
  <c r="C17" i="5"/>
  <c r="B92" i="5"/>
  <c r="B81" i="5"/>
  <c r="B76" i="5"/>
  <c r="B105" i="5"/>
  <c r="B73" i="5"/>
  <c r="C99" i="5"/>
  <c r="C83" i="5"/>
  <c r="C67" i="5"/>
  <c r="C45" i="5"/>
  <c r="C20" i="5"/>
  <c r="B100" i="5"/>
  <c r="B68" i="5"/>
  <c r="B97" i="5"/>
  <c r="B65" i="5"/>
  <c r="B99" i="5"/>
  <c r="B91" i="5"/>
  <c r="B83" i="5"/>
  <c r="B75" i="5"/>
  <c r="B67" i="5"/>
  <c r="B98" i="5"/>
  <c r="B90" i="5"/>
  <c r="B82" i="5"/>
  <c r="B74" i="5"/>
  <c r="AB74" i="5" s="1"/>
  <c r="B66" i="5"/>
  <c r="C103" i="5"/>
  <c r="C95" i="5"/>
  <c r="C87" i="5"/>
  <c r="C79" i="5"/>
  <c r="C71" i="5"/>
  <c r="C63" i="5"/>
  <c r="C52" i="5"/>
  <c r="C39" i="5"/>
  <c r="C27" i="5"/>
  <c r="C13" i="5"/>
  <c r="B104" i="5"/>
  <c r="B96" i="5"/>
  <c r="B88" i="5"/>
  <c r="B80" i="5"/>
  <c r="B72" i="5"/>
  <c r="AB72" i="5" s="1"/>
  <c r="B64" i="5"/>
  <c r="V64" i="5" s="1"/>
  <c r="C102" i="5"/>
  <c r="C94" i="5"/>
  <c r="C86" i="5"/>
  <c r="C78" i="5"/>
  <c r="C70" i="5"/>
  <c r="C62" i="5"/>
  <c r="C51" i="5"/>
  <c r="C37" i="5"/>
  <c r="C25" i="5"/>
  <c r="C12" i="5"/>
  <c r="B103" i="5"/>
  <c r="B95" i="5"/>
  <c r="B87" i="5"/>
  <c r="B79" i="5"/>
  <c r="B71" i="5"/>
  <c r="B63" i="5"/>
  <c r="C101" i="5"/>
  <c r="C93" i="5"/>
  <c r="C85" i="5"/>
  <c r="C77" i="5"/>
  <c r="C69" i="5"/>
  <c r="C61" i="5"/>
  <c r="C49" i="5"/>
  <c r="C36" i="5"/>
  <c r="C23" i="5"/>
  <c r="C11" i="5"/>
  <c r="B102" i="5"/>
  <c r="B94" i="5"/>
  <c r="B86" i="5"/>
  <c r="B78" i="5"/>
  <c r="B70" i="5"/>
  <c r="B62" i="5"/>
  <c r="C100" i="5"/>
  <c r="V100" i="5" s="1"/>
  <c r="F100" i="5" s="1"/>
  <c r="C92" i="5"/>
  <c r="C84" i="5"/>
  <c r="C76" i="5"/>
  <c r="C68" i="5"/>
  <c r="V68" i="5" s="1"/>
  <c r="E68" i="5" s="1"/>
  <c r="C60" i="5"/>
  <c r="C47" i="5"/>
  <c r="C35" i="5"/>
  <c r="C21" i="5"/>
  <c r="C9" i="5"/>
  <c r="B101" i="5"/>
  <c r="B93" i="5"/>
  <c r="B85" i="5"/>
  <c r="B77" i="5"/>
  <c r="B69" i="5"/>
  <c r="B61" i="5"/>
  <c r="B60" i="5"/>
  <c r="B56" i="5"/>
  <c r="B52" i="5"/>
  <c r="B48" i="5"/>
  <c r="B44" i="5"/>
  <c r="B40" i="5"/>
  <c r="B36" i="5"/>
  <c r="B32" i="5"/>
  <c r="B28" i="5"/>
  <c r="B24" i="5"/>
  <c r="B20" i="5"/>
  <c r="B16" i="5"/>
  <c r="B12" i="5"/>
  <c r="B8" i="5"/>
  <c r="C58" i="5"/>
  <c r="C50" i="5"/>
  <c r="C42" i="5"/>
  <c r="C34" i="5"/>
  <c r="C26" i="5"/>
  <c r="C18" i="5"/>
  <c r="C10" i="5"/>
  <c r="B59" i="5"/>
  <c r="B55" i="5"/>
  <c r="B51" i="5"/>
  <c r="B47" i="5"/>
  <c r="B43" i="5"/>
  <c r="B39" i="5"/>
  <c r="B35" i="5"/>
  <c r="B31" i="5"/>
  <c r="B27" i="5"/>
  <c r="B23" i="5"/>
  <c r="B19" i="5"/>
  <c r="B15" i="5"/>
  <c r="B11" i="5"/>
  <c r="B7" i="5"/>
  <c r="C56" i="5"/>
  <c r="C48" i="5"/>
  <c r="C40" i="5"/>
  <c r="C32" i="5"/>
  <c r="C24" i="5"/>
  <c r="C16" i="5"/>
  <c r="C8" i="5"/>
  <c r="B58" i="5"/>
  <c r="B54" i="5"/>
  <c r="B50" i="5"/>
  <c r="B46" i="5"/>
  <c r="B42" i="5"/>
  <c r="B38" i="5"/>
  <c r="B34" i="5"/>
  <c r="B30" i="5"/>
  <c r="B26" i="5"/>
  <c r="B22" i="5"/>
  <c r="B18" i="5"/>
  <c r="B14" i="5"/>
  <c r="B10" i="5"/>
  <c r="B6" i="5"/>
  <c r="C54" i="5"/>
  <c r="C46" i="5"/>
  <c r="C38" i="5"/>
  <c r="C30" i="5"/>
  <c r="C22" i="5"/>
  <c r="C14" i="5"/>
  <c r="C6" i="5"/>
  <c r="C5" i="5"/>
  <c r="B57" i="5"/>
  <c r="B53" i="5"/>
  <c r="B49" i="5"/>
  <c r="B45" i="5"/>
  <c r="B41" i="5"/>
  <c r="B37" i="5"/>
  <c r="B33" i="5"/>
  <c r="B29" i="5"/>
  <c r="B25" i="5"/>
  <c r="B21" i="5"/>
  <c r="B17" i="5"/>
  <c r="B13" i="5"/>
  <c r="B9" i="5"/>
  <c r="F50" i="6"/>
  <c r="H50" i="6" s="1"/>
  <c r="D50" i="6" s="1"/>
  <c r="F40" i="6"/>
  <c r="H40" i="6" s="1"/>
  <c r="C40" i="6" s="1"/>
  <c r="F45" i="6"/>
  <c r="H45" i="6" s="1"/>
  <c r="D45" i="6" s="1"/>
  <c r="F66" i="6"/>
  <c r="F30" i="6"/>
  <c r="H30" i="6" s="1"/>
  <c r="D30" i="6" s="1"/>
  <c r="H25" i="6"/>
  <c r="D25" i="6" s="1"/>
  <c r="H20" i="6"/>
  <c r="B37" i="6"/>
  <c r="G37" i="6" s="1"/>
  <c r="G22" i="6"/>
  <c r="H22" i="6" s="1"/>
  <c r="D22" i="6" s="1"/>
  <c r="D17" i="6"/>
  <c r="K68" i="6"/>
  <c r="B47" i="6"/>
  <c r="G47" i="6" s="1"/>
  <c r="B52" i="6"/>
  <c r="G52" i="6" s="1"/>
  <c r="F27" i="6"/>
  <c r="B27" i="6"/>
  <c r="G27" i="6" s="1"/>
  <c r="B32" i="6"/>
  <c r="G32" i="6" s="1"/>
  <c r="B42" i="6"/>
  <c r="G42" i="6" s="1"/>
  <c r="C17" i="6"/>
  <c r="C22" i="6"/>
  <c r="C16" i="6"/>
  <c r="D21" i="6"/>
  <c r="K67" i="6"/>
  <c r="C21" i="6"/>
  <c r="F26" i="6"/>
  <c r="F54" i="6" s="1"/>
  <c r="B41" i="6"/>
  <c r="G41" i="6" s="1"/>
  <c r="D20" i="6"/>
  <c r="K66" i="6"/>
  <c r="F35" i="6"/>
  <c r="H35" i="6" s="1"/>
  <c r="D35" i="6" s="1"/>
  <c r="C35" i="6"/>
  <c r="C25" i="6"/>
  <c r="C20" i="6"/>
  <c r="C15" i="6"/>
  <c r="H39" i="6"/>
  <c r="D39" i="6" s="1"/>
  <c r="H34" i="6"/>
  <c r="D34" i="6" s="1"/>
  <c r="B55" i="4"/>
  <c r="A38" i="6" s="1"/>
  <c r="B75" i="4"/>
  <c r="A54" i="6" s="1"/>
  <c r="B81" i="4"/>
  <c r="A58" i="6" s="1"/>
  <c r="B67" i="4"/>
  <c r="A48" i="6" s="1"/>
  <c r="B89" i="4"/>
  <c r="A63" i="6" s="1"/>
  <c r="B37" i="4"/>
  <c r="A23" i="6" s="1"/>
  <c r="B83" i="4"/>
  <c r="A59" i="6" s="1"/>
  <c r="B79" i="4"/>
  <c r="A57" i="6" s="1"/>
  <c r="B43" i="4"/>
  <c r="A28" i="6" s="1"/>
  <c r="B77" i="4"/>
  <c r="A55" i="6" s="1"/>
  <c r="B61" i="4"/>
  <c r="A43" i="6" s="1"/>
  <c r="B49" i="4"/>
  <c r="A33" i="6" s="1"/>
  <c r="B31" i="4"/>
  <c r="A18" i="6" s="1"/>
  <c r="B87" i="4"/>
  <c r="A62" i="6" s="1"/>
  <c r="B85" i="4"/>
  <c r="A60" i="6" s="1"/>
  <c r="K65" i="6"/>
  <c r="D14" i="6"/>
  <c r="C39" i="6"/>
  <c r="C24" i="6"/>
  <c r="C29" i="6"/>
  <c r="C14" i="6"/>
  <c r="B71" i="4"/>
  <c r="A52" i="6" s="1"/>
  <c r="H24" i="6"/>
  <c r="D24" i="6" s="1"/>
  <c r="F29" i="6"/>
  <c r="H29" i="6" s="1"/>
  <c r="D29" i="6" s="1"/>
  <c r="F44" i="6"/>
  <c r="H44" i="6" s="1"/>
  <c r="D44" i="6" s="1"/>
  <c r="B65" i="4"/>
  <c r="A47" i="6" s="1"/>
  <c r="F49" i="6"/>
  <c r="H49" i="6" s="1"/>
  <c r="D49" i="6" s="1"/>
  <c r="A16" i="6"/>
  <c r="B53" i="4"/>
  <c r="A37" i="6" s="1"/>
  <c r="B34" i="6"/>
  <c r="G34" i="6" s="1"/>
  <c r="B39" i="6"/>
  <c r="G39" i="6" s="1"/>
  <c r="C44" i="6"/>
  <c r="F65" i="6"/>
  <c r="A27" i="6"/>
  <c r="C49" i="6"/>
  <c r="D67" i="4"/>
  <c r="G19" i="6"/>
  <c r="H19" i="6" s="1"/>
  <c r="D19" i="6" s="1"/>
  <c r="C34" i="6"/>
  <c r="C19" i="6"/>
  <c r="D31" i="4"/>
  <c r="D61" i="4"/>
  <c r="C12" i="6"/>
  <c r="A17" i="6"/>
  <c r="C11" i="6"/>
  <c r="A26" i="6"/>
  <c r="B64" i="4"/>
  <c r="A46" i="6" s="1"/>
  <c r="C5" i="6"/>
  <c r="B70" i="4"/>
  <c r="A51" i="6" s="1"/>
  <c r="B58" i="4"/>
  <c r="A41" i="6" s="1"/>
  <c r="A25" i="6"/>
  <c r="B69" i="4"/>
  <c r="A50" i="6" s="1"/>
  <c r="B63" i="4"/>
  <c r="A45" i="6" s="1"/>
  <c r="D55" i="4"/>
  <c r="D74" i="4"/>
  <c r="D43" i="4"/>
  <c r="D49" i="4"/>
  <c r="B33" i="4"/>
  <c r="A20" i="6" s="1"/>
  <c r="B51" i="4"/>
  <c r="A35" i="6" s="1"/>
  <c r="B57" i="4"/>
  <c r="A40" i="6" s="1"/>
  <c r="C8" i="6"/>
  <c r="C7" i="6"/>
  <c r="B52" i="4"/>
  <c r="A36" i="6" s="1"/>
  <c r="C10" i="6"/>
  <c r="C9" i="6"/>
  <c r="C6" i="6"/>
  <c r="A24" i="6"/>
  <c r="B50" i="4"/>
  <c r="A34" i="6" s="1"/>
  <c r="C4" i="6"/>
  <c r="G64" i="6"/>
  <c r="G43" i="4"/>
  <c r="G37" i="4"/>
  <c r="G74" i="4"/>
  <c r="G31" i="4"/>
  <c r="G49" i="4"/>
  <c r="G67" i="4"/>
  <c r="G61" i="4"/>
  <c r="G55" i="4"/>
  <c r="B56" i="4"/>
  <c r="A39" i="6" s="1"/>
  <c r="B68" i="4"/>
  <c r="A49" i="6" s="1"/>
  <c r="A14" i="6"/>
  <c r="C50" i="6" l="1"/>
  <c r="C45" i="6"/>
  <c r="D40" i="6"/>
  <c r="V89" i="5"/>
  <c r="F89" i="5" s="1"/>
  <c r="V66" i="5"/>
  <c r="F66" i="5" s="1"/>
  <c r="C30" i="6"/>
  <c r="V99" i="5"/>
  <c r="E99" i="5" s="1"/>
  <c r="AB104" i="5"/>
  <c r="AB61" i="5"/>
  <c r="AB89" i="5"/>
  <c r="AB87" i="5"/>
  <c r="I89" i="5"/>
  <c r="AB98" i="5"/>
  <c r="AB75" i="5"/>
  <c r="AB97" i="5"/>
  <c r="AB83" i="5"/>
  <c r="AB65" i="5"/>
  <c r="R100" i="5"/>
  <c r="H68" i="5"/>
  <c r="AB94" i="5"/>
  <c r="J68" i="5"/>
  <c r="AB103" i="5"/>
  <c r="E100" i="5"/>
  <c r="X100" i="5" s="1"/>
  <c r="G68" i="5"/>
  <c r="V67" i="5"/>
  <c r="J67" i="5" s="1"/>
  <c r="H100" i="5"/>
  <c r="V74" i="5"/>
  <c r="G74" i="5" s="1"/>
  <c r="J100" i="5"/>
  <c r="V78" i="5"/>
  <c r="H78" i="5" s="1"/>
  <c r="V81" i="5"/>
  <c r="AB81" i="5"/>
  <c r="AB73" i="5"/>
  <c r="V73" i="5"/>
  <c r="V65" i="5"/>
  <c r="V105" i="5"/>
  <c r="AB105" i="5"/>
  <c r="I100" i="5"/>
  <c r="R68" i="5"/>
  <c r="G100" i="5"/>
  <c r="AB93" i="5"/>
  <c r="AB86" i="5"/>
  <c r="AB79" i="5"/>
  <c r="V72" i="5"/>
  <c r="I72" i="5" s="1"/>
  <c r="V97" i="5"/>
  <c r="R64" i="5"/>
  <c r="J64" i="5"/>
  <c r="E64" i="5"/>
  <c r="H64" i="5"/>
  <c r="I64" i="5"/>
  <c r="F64" i="5"/>
  <c r="G64" i="5"/>
  <c r="E66" i="5"/>
  <c r="AB101" i="5"/>
  <c r="V84" i="5"/>
  <c r="G84" i="5" s="1"/>
  <c r="V77" i="5"/>
  <c r="V70" i="5"/>
  <c r="G70" i="5" s="1"/>
  <c r="AB80" i="5"/>
  <c r="V63" i="5"/>
  <c r="V92" i="5"/>
  <c r="G92" i="5" s="1"/>
  <c r="AB102" i="5"/>
  <c r="V85" i="5"/>
  <c r="G85" i="5" s="1"/>
  <c r="AB95" i="5"/>
  <c r="AB88" i="5"/>
  <c r="V88" i="5"/>
  <c r="V71" i="5"/>
  <c r="AB66" i="5"/>
  <c r="H74" i="5"/>
  <c r="I68" i="5"/>
  <c r="V93" i="5"/>
  <c r="V86" i="5"/>
  <c r="G86" i="5" s="1"/>
  <c r="AB96" i="5"/>
  <c r="V79" i="5"/>
  <c r="G79" i="5" s="1"/>
  <c r="V83" i="5"/>
  <c r="V101" i="5"/>
  <c r="G101" i="5" s="1"/>
  <c r="V94" i="5"/>
  <c r="G94" i="5" s="1"/>
  <c r="V87" i="5"/>
  <c r="V82" i="5"/>
  <c r="AB82" i="5"/>
  <c r="AB67" i="5"/>
  <c r="V104" i="5"/>
  <c r="F68" i="5"/>
  <c r="AB69" i="5"/>
  <c r="AB62" i="5"/>
  <c r="V102" i="5"/>
  <c r="G102" i="5" s="1"/>
  <c r="V95" i="5"/>
  <c r="AB90" i="5"/>
  <c r="V90" i="5"/>
  <c r="V98" i="5"/>
  <c r="AB84" i="5"/>
  <c r="AB77" i="5"/>
  <c r="AB70" i="5"/>
  <c r="AB63" i="5"/>
  <c r="V103" i="5"/>
  <c r="G103" i="5" s="1"/>
  <c r="AB68" i="5"/>
  <c r="V75" i="5"/>
  <c r="AB85" i="5"/>
  <c r="AB78" i="5"/>
  <c r="V61" i="5"/>
  <c r="AB71" i="5"/>
  <c r="AB64" i="5"/>
  <c r="AB91" i="5"/>
  <c r="V91" i="5"/>
  <c r="AB100" i="5"/>
  <c r="AB92" i="5"/>
  <c r="V80" i="5"/>
  <c r="AB76" i="5"/>
  <c r="V76" i="5"/>
  <c r="G76" i="5" s="1"/>
  <c r="V69" i="5"/>
  <c r="G69" i="5" s="1"/>
  <c r="V62" i="5"/>
  <c r="G62" i="5" s="1"/>
  <c r="AB99" i="5"/>
  <c r="V96" i="5"/>
  <c r="V43" i="5"/>
  <c r="AB43" i="5"/>
  <c r="V34" i="5"/>
  <c r="AB24" i="5"/>
  <c r="AB56" i="5"/>
  <c r="AB21" i="5"/>
  <c r="V21" i="5"/>
  <c r="V53" i="5"/>
  <c r="AB53" i="5"/>
  <c r="V46" i="5"/>
  <c r="G46" i="5" s="1"/>
  <c r="AB30" i="5"/>
  <c r="V8" i="5"/>
  <c r="G8" i="5" s="1"/>
  <c r="V11" i="5"/>
  <c r="AB11" i="5"/>
  <c r="V25" i="5"/>
  <c r="AB25" i="5"/>
  <c r="V57" i="5"/>
  <c r="AB57" i="5"/>
  <c r="V54" i="5"/>
  <c r="G54" i="5" s="1"/>
  <c r="AB34" i="5"/>
  <c r="V16" i="5"/>
  <c r="G16" i="5" s="1"/>
  <c r="V15" i="5"/>
  <c r="AB15" i="5"/>
  <c r="V47" i="5"/>
  <c r="AB47" i="5"/>
  <c r="V42" i="5"/>
  <c r="G42" i="5" s="1"/>
  <c r="V28" i="5"/>
  <c r="AB28" i="5"/>
  <c r="V60" i="5"/>
  <c r="AB60" i="5"/>
  <c r="V40" i="5"/>
  <c r="G40" i="5" s="1"/>
  <c r="AB27" i="5"/>
  <c r="V27" i="5"/>
  <c r="AB29" i="5"/>
  <c r="V29" i="5"/>
  <c r="AB5" i="5"/>
  <c r="V5" i="5"/>
  <c r="G5" i="5" s="1"/>
  <c r="AB6" i="5"/>
  <c r="AB38" i="5"/>
  <c r="V24" i="5"/>
  <c r="G24" i="5" s="1"/>
  <c r="AB19" i="5"/>
  <c r="V19" i="5"/>
  <c r="AB51" i="5"/>
  <c r="V50" i="5"/>
  <c r="G50" i="5" s="1"/>
  <c r="AB32" i="5"/>
  <c r="X68" i="5"/>
  <c r="AB33" i="5"/>
  <c r="V33" i="5"/>
  <c r="V6" i="5"/>
  <c r="G6" i="5" s="1"/>
  <c r="AB10" i="5"/>
  <c r="AB42" i="5"/>
  <c r="V32" i="5"/>
  <c r="G32" i="5" s="1"/>
  <c r="V23" i="5"/>
  <c r="AB23" i="5"/>
  <c r="V55" i="5"/>
  <c r="AB55" i="5"/>
  <c r="V58" i="5"/>
  <c r="G58" i="5" s="1"/>
  <c r="V36" i="5"/>
  <c r="AB36" i="5"/>
  <c r="V51" i="5"/>
  <c r="F69" i="6"/>
  <c r="C69" i="6" s="1"/>
  <c r="AB59" i="5"/>
  <c r="V59" i="5"/>
  <c r="AB8" i="5"/>
  <c r="AB40" i="5"/>
  <c r="AB37" i="5"/>
  <c r="V37" i="5"/>
  <c r="V14" i="5"/>
  <c r="G14" i="5" s="1"/>
  <c r="AB14" i="5"/>
  <c r="AB46" i="5"/>
  <c r="V9" i="5"/>
  <c r="AB9" i="5"/>
  <c r="V41" i="5"/>
  <c r="AB41" i="5"/>
  <c r="V22" i="5"/>
  <c r="G22" i="5" s="1"/>
  <c r="AB18" i="5"/>
  <c r="AB50" i="5"/>
  <c r="V48" i="5"/>
  <c r="G48" i="5" s="1"/>
  <c r="V31" i="5"/>
  <c r="AB31" i="5"/>
  <c r="V10" i="5"/>
  <c r="G10" i="5" s="1"/>
  <c r="V12" i="5"/>
  <c r="AB12" i="5"/>
  <c r="V44" i="5"/>
  <c r="AB44" i="5"/>
  <c r="V13" i="5"/>
  <c r="AB13" i="5"/>
  <c r="AB45" i="5"/>
  <c r="V45" i="5"/>
  <c r="V30" i="5"/>
  <c r="AB22" i="5"/>
  <c r="AB54" i="5"/>
  <c r="V56" i="5"/>
  <c r="AB35" i="5"/>
  <c r="V35" i="5"/>
  <c r="V18" i="5"/>
  <c r="G18" i="5" s="1"/>
  <c r="AB16" i="5"/>
  <c r="AB48" i="5"/>
  <c r="V17" i="5"/>
  <c r="AB17" i="5"/>
  <c r="V49" i="5"/>
  <c r="AB49" i="5"/>
  <c r="V38" i="5"/>
  <c r="G38" i="5" s="1"/>
  <c r="AB26" i="5"/>
  <c r="AB58" i="5"/>
  <c r="V7" i="5"/>
  <c r="AB7" i="5"/>
  <c r="V39" i="5"/>
  <c r="AB39" i="5"/>
  <c r="V26" i="5"/>
  <c r="G26" i="5" s="1"/>
  <c r="V20" i="5"/>
  <c r="AB20" i="5"/>
  <c r="V52" i="5"/>
  <c r="AB52" i="5"/>
  <c r="F63" i="6"/>
  <c r="H63" i="6" s="1"/>
  <c r="D63" i="6" s="1"/>
  <c r="H54" i="6"/>
  <c r="C54" i="6" s="1"/>
  <c r="F62" i="6"/>
  <c r="H62" i="6" s="1"/>
  <c r="D62" i="6" s="1"/>
  <c r="F59" i="6"/>
  <c r="H59" i="6" s="1"/>
  <c r="F58" i="6"/>
  <c r="H58" i="6" s="1"/>
  <c r="F60" i="6"/>
  <c r="H60" i="6" s="1"/>
  <c r="F55" i="6"/>
  <c r="H55" i="6" s="1"/>
  <c r="F57" i="6"/>
  <c r="H57" i="6" s="1"/>
  <c r="F32" i="6"/>
  <c r="H32" i="6" s="1"/>
  <c r="F52" i="6"/>
  <c r="H52" i="6" s="1"/>
  <c r="F42" i="6"/>
  <c r="H42" i="6" s="1"/>
  <c r="H27" i="6"/>
  <c r="F47" i="6"/>
  <c r="H47" i="6" s="1"/>
  <c r="F37" i="6"/>
  <c r="H37" i="6" s="1"/>
  <c r="F68" i="6"/>
  <c r="F31" i="6"/>
  <c r="H31" i="6" s="1"/>
  <c r="F51" i="6"/>
  <c r="H51" i="6" s="1"/>
  <c r="F41" i="6"/>
  <c r="H41" i="6" s="1"/>
  <c r="H26" i="6"/>
  <c r="F36" i="6"/>
  <c r="H36" i="6" s="1"/>
  <c r="F67" i="6"/>
  <c r="F46" i="6"/>
  <c r="H46" i="6" s="1"/>
  <c r="C2" i="6"/>
  <c r="B2" i="6"/>
  <c r="C63" i="6"/>
  <c r="B64" i="6"/>
  <c r="H64" i="6"/>
  <c r="S64" i="5"/>
  <c r="S66" i="5"/>
  <c r="S68" i="5"/>
  <c r="S100" i="5"/>
  <c r="S99" i="5"/>
  <c r="G99" i="5" l="1"/>
  <c r="I66" i="5"/>
  <c r="I67" i="5"/>
  <c r="E67" i="5"/>
  <c r="F72" i="5"/>
  <c r="R74" i="5"/>
  <c r="H66" i="5"/>
  <c r="J66" i="5"/>
  <c r="R89" i="5"/>
  <c r="G89" i="5"/>
  <c r="E89" i="5"/>
  <c r="H89" i="5"/>
  <c r="J89" i="5"/>
  <c r="F56" i="6"/>
  <c r="H56" i="6" s="1"/>
  <c r="R66" i="5"/>
  <c r="F99" i="5"/>
  <c r="G66" i="5"/>
  <c r="I99" i="5"/>
  <c r="H99" i="5"/>
  <c r="J99" i="5"/>
  <c r="R99" i="5"/>
  <c r="F67" i="5"/>
  <c r="G72" i="5"/>
  <c r="J78" i="5"/>
  <c r="H67" i="5"/>
  <c r="R67" i="5"/>
  <c r="I78" i="5"/>
  <c r="E78" i="5"/>
  <c r="R78" i="5"/>
  <c r="G67" i="5"/>
  <c r="E73" i="5"/>
  <c r="F73" i="5"/>
  <c r="I73" i="5"/>
  <c r="H73" i="5"/>
  <c r="J73" i="5"/>
  <c r="G73" i="5"/>
  <c r="R73" i="5"/>
  <c r="G67" i="6"/>
  <c r="H67" i="6" s="1"/>
  <c r="D67" i="6" s="1"/>
  <c r="G81" i="5"/>
  <c r="E81" i="5"/>
  <c r="I81" i="5"/>
  <c r="H81" i="5"/>
  <c r="F81" i="5"/>
  <c r="R81" i="5"/>
  <c r="J81" i="5"/>
  <c r="F78" i="5"/>
  <c r="G78" i="5"/>
  <c r="G97" i="5"/>
  <c r="E97" i="5"/>
  <c r="R97" i="5"/>
  <c r="I97" i="5"/>
  <c r="F97" i="5"/>
  <c r="J97" i="5"/>
  <c r="H97" i="5"/>
  <c r="H72" i="5"/>
  <c r="E72" i="5"/>
  <c r="R72" i="5"/>
  <c r="J72" i="5"/>
  <c r="E105" i="5"/>
  <c r="F105" i="5"/>
  <c r="J105" i="5"/>
  <c r="G105" i="5"/>
  <c r="R105" i="5"/>
  <c r="H105" i="5"/>
  <c r="I105" i="5"/>
  <c r="F74" i="5"/>
  <c r="E74" i="5"/>
  <c r="I74" i="5"/>
  <c r="J74" i="5"/>
  <c r="I65" i="5"/>
  <c r="J65" i="5"/>
  <c r="R65" i="5"/>
  <c r="E65" i="5"/>
  <c r="F65" i="5"/>
  <c r="H65" i="5"/>
  <c r="G65" i="5"/>
  <c r="R96" i="5"/>
  <c r="F96" i="5"/>
  <c r="I96" i="5"/>
  <c r="E96" i="5"/>
  <c r="J96" i="5"/>
  <c r="H96" i="5"/>
  <c r="G96" i="5"/>
  <c r="E102" i="5"/>
  <c r="R102" i="5"/>
  <c r="J102" i="5"/>
  <c r="H102" i="5"/>
  <c r="I102" i="5"/>
  <c r="F102" i="5"/>
  <c r="R83" i="5"/>
  <c r="I83" i="5"/>
  <c r="F83" i="5"/>
  <c r="G83" i="5"/>
  <c r="J83" i="5"/>
  <c r="E83" i="5"/>
  <c r="H83" i="5"/>
  <c r="E88" i="5"/>
  <c r="R88" i="5"/>
  <c r="J88" i="5"/>
  <c r="H88" i="5"/>
  <c r="I88" i="5"/>
  <c r="F88" i="5"/>
  <c r="G88" i="5"/>
  <c r="E77" i="5"/>
  <c r="F77" i="5"/>
  <c r="J77" i="5"/>
  <c r="H77" i="5"/>
  <c r="R77" i="5"/>
  <c r="I77" i="5"/>
  <c r="H82" i="5"/>
  <c r="F82" i="5"/>
  <c r="I82" i="5"/>
  <c r="J82" i="5"/>
  <c r="G82" i="5"/>
  <c r="E82" i="5"/>
  <c r="R82" i="5"/>
  <c r="R92" i="5"/>
  <c r="E92" i="5"/>
  <c r="I92" i="5"/>
  <c r="J92" i="5"/>
  <c r="H92" i="5"/>
  <c r="F92" i="5"/>
  <c r="I98" i="5"/>
  <c r="H98" i="5"/>
  <c r="F98" i="5"/>
  <c r="J98" i="5"/>
  <c r="G98" i="5"/>
  <c r="E98" i="5"/>
  <c r="R98" i="5"/>
  <c r="I87" i="5"/>
  <c r="F87" i="5"/>
  <c r="J87" i="5"/>
  <c r="R87" i="5"/>
  <c r="H87" i="5"/>
  <c r="E87" i="5"/>
  <c r="I63" i="5"/>
  <c r="J63" i="5"/>
  <c r="R63" i="5"/>
  <c r="E63" i="5"/>
  <c r="F63" i="5"/>
  <c r="H63" i="5"/>
  <c r="E84" i="5"/>
  <c r="R84" i="5"/>
  <c r="J84" i="5"/>
  <c r="H84" i="5"/>
  <c r="I84" i="5"/>
  <c r="F84" i="5"/>
  <c r="X67" i="5"/>
  <c r="I79" i="5"/>
  <c r="R79" i="5"/>
  <c r="H79" i="5"/>
  <c r="J79" i="5"/>
  <c r="E79" i="5"/>
  <c r="F79" i="5"/>
  <c r="X66" i="5"/>
  <c r="F61" i="5"/>
  <c r="R61" i="5"/>
  <c r="H61" i="5"/>
  <c r="I61" i="5"/>
  <c r="J61" i="5"/>
  <c r="G61" i="5"/>
  <c r="E61" i="5"/>
  <c r="I103" i="5"/>
  <c r="H103" i="5"/>
  <c r="J103" i="5"/>
  <c r="R103" i="5"/>
  <c r="F103" i="5"/>
  <c r="E103" i="5"/>
  <c r="E90" i="5"/>
  <c r="H90" i="5"/>
  <c r="I90" i="5"/>
  <c r="R90" i="5"/>
  <c r="F90" i="5"/>
  <c r="J90" i="5"/>
  <c r="G90" i="5"/>
  <c r="G63" i="5"/>
  <c r="F75" i="5"/>
  <c r="I75" i="5"/>
  <c r="J75" i="5"/>
  <c r="E75" i="5"/>
  <c r="G75" i="5"/>
  <c r="R75" i="5"/>
  <c r="H75" i="5"/>
  <c r="E62" i="5"/>
  <c r="F62" i="5"/>
  <c r="J62" i="5"/>
  <c r="R62" i="5"/>
  <c r="H62" i="5"/>
  <c r="I62" i="5"/>
  <c r="R80" i="5"/>
  <c r="I80" i="5"/>
  <c r="E80" i="5"/>
  <c r="J80" i="5"/>
  <c r="H80" i="5"/>
  <c r="F80" i="5"/>
  <c r="G80" i="5"/>
  <c r="I94" i="5"/>
  <c r="H94" i="5"/>
  <c r="F94" i="5"/>
  <c r="J94" i="5"/>
  <c r="R94" i="5"/>
  <c r="E94" i="5"/>
  <c r="F86" i="5"/>
  <c r="J86" i="5"/>
  <c r="H86" i="5"/>
  <c r="I86" i="5"/>
  <c r="R86" i="5"/>
  <c r="E86" i="5"/>
  <c r="E95" i="5"/>
  <c r="F95" i="5"/>
  <c r="I95" i="5"/>
  <c r="J95" i="5"/>
  <c r="R95" i="5"/>
  <c r="H95" i="5"/>
  <c r="E101" i="5"/>
  <c r="F101" i="5"/>
  <c r="R101" i="5"/>
  <c r="J101" i="5"/>
  <c r="I101" i="5"/>
  <c r="H101" i="5"/>
  <c r="F85" i="5"/>
  <c r="J85" i="5"/>
  <c r="H85" i="5"/>
  <c r="I85" i="5"/>
  <c r="E85" i="5"/>
  <c r="R85" i="5"/>
  <c r="E69" i="5"/>
  <c r="R69" i="5"/>
  <c r="F69" i="5"/>
  <c r="I69" i="5"/>
  <c r="J69" i="5"/>
  <c r="H69" i="5"/>
  <c r="H104" i="5"/>
  <c r="F104" i="5"/>
  <c r="R104" i="5"/>
  <c r="I104" i="5"/>
  <c r="J104" i="5"/>
  <c r="E104" i="5"/>
  <c r="G104" i="5"/>
  <c r="E93" i="5"/>
  <c r="G93" i="5"/>
  <c r="R93" i="5"/>
  <c r="J93" i="5"/>
  <c r="I93" i="5"/>
  <c r="H93" i="5"/>
  <c r="F93" i="5"/>
  <c r="E71" i="5"/>
  <c r="H71" i="5"/>
  <c r="F71" i="5"/>
  <c r="R71" i="5"/>
  <c r="J71" i="5"/>
  <c r="I71" i="5"/>
  <c r="F70" i="5"/>
  <c r="J70" i="5"/>
  <c r="I70" i="5"/>
  <c r="R70" i="5"/>
  <c r="H70" i="5"/>
  <c r="E70" i="5"/>
  <c r="X64" i="5"/>
  <c r="E76" i="5"/>
  <c r="H76" i="5"/>
  <c r="F76" i="5"/>
  <c r="R76" i="5"/>
  <c r="I76" i="5"/>
  <c r="J76" i="5"/>
  <c r="R91" i="5"/>
  <c r="H91" i="5"/>
  <c r="I91" i="5"/>
  <c r="J91" i="5"/>
  <c r="F91" i="5"/>
  <c r="G91" i="5"/>
  <c r="E91" i="5"/>
  <c r="G87" i="5"/>
  <c r="G95" i="5"/>
  <c r="G71" i="5"/>
  <c r="G77" i="5"/>
  <c r="X99" i="5"/>
  <c r="J56" i="5"/>
  <c r="E56" i="5"/>
  <c r="H56" i="5"/>
  <c r="F56" i="5"/>
  <c r="I56" i="5"/>
  <c r="R56" i="5"/>
  <c r="R36" i="5"/>
  <c r="J36" i="5"/>
  <c r="H36" i="5"/>
  <c r="I36" i="5"/>
  <c r="E36" i="5"/>
  <c r="F36" i="5"/>
  <c r="G36" i="5"/>
  <c r="E17" i="5"/>
  <c r="J17" i="5"/>
  <c r="H17" i="5"/>
  <c r="I17" i="5"/>
  <c r="R17" i="5"/>
  <c r="F17" i="5"/>
  <c r="G17" i="5"/>
  <c r="E45" i="5"/>
  <c r="R45" i="5"/>
  <c r="I45" i="5"/>
  <c r="F45" i="5"/>
  <c r="J45" i="5"/>
  <c r="G45" i="5"/>
  <c r="H45" i="5"/>
  <c r="E41" i="5"/>
  <c r="F41" i="5"/>
  <c r="R41" i="5"/>
  <c r="H41" i="5"/>
  <c r="I41" i="5"/>
  <c r="J41" i="5"/>
  <c r="G41" i="5"/>
  <c r="E58" i="5"/>
  <c r="F58" i="5"/>
  <c r="J58" i="5"/>
  <c r="H58" i="5"/>
  <c r="R58" i="5"/>
  <c r="I58" i="5"/>
  <c r="E23" i="5"/>
  <c r="G23" i="5"/>
  <c r="H23" i="5"/>
  <c r="J23" i="5"/>
  <c r="R23" i="5"/>
  <c r="F23" i="5"/>
  <c r="I23" i="5"/>
  <c r="E19" i="5"/>
  <c r="J19" i="5"/>
  <c r="I19" i="5"/>
  <c r="H19" i="5"/>
  <c r="R19" i="5"/>
  <c r="F19" i="5"/>
  <c r="G19" i="5"/>
  <c r="J5" i="5"/>
  <c r="E5" i="5"/>
  <c r="H5" i="5"/>
  <c r="I5" i="5"/>
  <c r="F5" i="5"/>
  <c r="R5" i="5"/>
  <c r="E26" i="5"/>
  <c r="J26" i="5"/>
  <c r="R26" i="5"/>
  <c r="H26" i="5"/>
  <c r="I26" i="5"/>
  <c r="F26" i="5"/>
  <c r="J44" i="5"/>
  <c r="H44" i="5"/>
  <c r="F44" i="5"/>
  <c r="R44" i="5"/>
  <c r="E44" i="5"/>
  <c r="G44" i="5"/>
  <c r="I44" i="5"/>
  <c r="E59" i="5"/>
  <c r="H59" i="5"/>
  <c r="I59" i="5"/>
  <c r="R59" i="5"/>
  <c r="J59" i="5"/>
  <c r="F59" i="5"/>
  <c r="G59" i="5"/>
  <c r="G66" i="6"/>
  <c r="H66" i="6" s="1"/>
  <c r="E27" i="5"/>
  <c r="R27" i="5"/>
  <c r="J27" i="5"/>
  <c r="I27" i="5"/>
  <c r="H27" i="5"/>
  <c r="F27" i="5"/>
  <c r="G27" i="5"/>
  <c r="I60" i="5"/>
  <c r="H60" i="5"/>
  <c r="E60" i="5"/>
  <c r="G60" i="5"/>
  <c r="R60" i="5"/>
  <c r="F60" i="5"/>
  <c r="J60" i="5"/>
  <c r="E16" i="5"/>
  <c r="H16" i="5"/>
  <c r="J16" i="5"/>
  <c r="F16" i="5"/>
  <c r="R16" i="5"/>
  <c r="I16" i="5"/>
  <c r="E57" i="5"/>
  <c r="J57" i="5"/>
  <c r="R57" i="5"/>
  <c r="H57" i="5"/>
  <c r="I57" i="5"/>
  <c r="F57" i="5"/>
  <c r="G57" i="5"/>
  <c r="E11" i="5"/>
  <c r="J11" i="5"/>
  <c r="F11" i="5"/>
  <c r="I11" i="5"/>
  <c r="H11" i="5"/>
  <c r="R11" i="5"/>
  <c r="G11" i="5"/>
  <c r="E46" i="5"/>
  <c r="I46" i="5"/>
  <c r="F46" i="5"/>
  <c r="J46" i="5"/>
  <c r="H46" i="5"/>
  <c r="R46" i="5"/>
  <c r="E43" i="5"/>
  <c r="F43" i="5"/>
  <c r="H43" i="5"/>
  <c r="R43" i="5"/>
  <c r="I43" i="5"/>
  <c r="J43" i="5"/>
  <c r="G43" i="5"/>
  <c r="F52" i="5"/>
  <c r="G52" i="5"/>
  <c r="R52" i="5"/>
  <c r="I52" i="5"/>
  <c r="E52" i="5"/>
  <c r="J52" i="5"/>
  <c r="H52" i="5"/>
  <c r="E31" i="5"/>
  <c r="G31" i="5"/>
  <c r="H31" i="5"/>
  <c r="J31" i="5"/>
  <c r="F31" i="5"/>
  <c r="R31" i="5"/>
  <c r="I31" i="5"/>
  <c r="G68" i="6"/>
  <c r="H68" i="6" s="1"/>
  <c r="E47" i="5"/>
  <c r="J47" i="5"/>
  <c r="R47" i="5"/>
  <c r="F47" i="5"/>
  <c r="I47" i="5"/>
  <c r="H47" i="5"/>
  <c r="G47" i="5"/>
  <c r="E7" i="5"/>
  <c r="G7" i="5"/>
  <c r="I7" i="5"/>
  <c r="J7" i="5"/>
  <c r="H7" i="5"/>
  <c r="R7" i="5"/>
  <c r="F7" i="5"/>
  <c r="I30" i="5"/>
  <c r="E30" i="5"/>
  <c r="H30" i="5"/>
  <c r="J30" i="5"/>
  <c r="R30" i="5"/>
  <c r="F30" i="5"/>
  <c r="I38" i="5"/>
  <c r="E38" i="5"/>
  <c r="J38" i="5"/>
  <c r="R38" i="5"/>
  <c r="H38" i="5"/>
  <c r="F38" i="5"/>
  <c r="I18" i="5"/>
  <c r="E18" i="5"/>
  <c r="J18" i="5"/>
  <c r="H18" i="5"/>
  <c r="R18" i="5"/>
  <c r="F18" i="5"/>
  <c r="E39" i="5"/>
  <c r="R39" i="5"/>
  <c r="I39" i="5"/>
  <c r="J39" i="5"/>
  <c r="H39" i="5"/>
  <c r="F39" i="5"/>
  <c r="G39" i="5"/>
  <c r="E49" i="5"/>
  <c r="I49" i="5"/>
  <c r="J49" i="5"/>
  <c r="R49" i="5"/>
  <c r="H49" i="5"/>
  <c r="F49" i="5"/>
  <c r="G49" i="5"/>
  <c r="E35" i="5"/>
  <c r="H35" i="5"/>
  <c r="J35" i="5"/>
  <c r="I35" i="5"/>
  <c r="F35" i="5"/>
  <c r="R35" i="5"/>
  <c r="G35" i="5"/>
  <c r="E32" i="5"/>
  <c r="R32" i="5"/>
  <c r="J32" i="5"/>
  <c r="F32" i="5"/>
  <c r="I32" i="5"/>
  <c r="H32" i="5"/>
  <c r="E6" i="5"/>
  <c r="R6" i="5"/>
  <c r="H6" i="5"/>
  <c r="I6" i="5"/>
  <c r="F6" i="5"/>
  <c r="J6" i="5"/>
  <c r="E50" i="5"/>
  <c r="R50" i="5"/>
  <c r="H50" i="5"/>
  <c r="I50" i="5"/>
  <c r="F50" i="5"/>
  <c r="J50" i="5"/>
  <c r="R53" i="5"/>
  <c r="E53" i="5"/>
  <c r="I53" i="5"/>
  <c r="G53" i="5"/>
  <c r="F53" i="5"/>
  <c r="J53" i="5"/>
  <c r="H53" i="5"/>
  <c r="E9" i="5"/>
  <c r="J9" i="5"/>
  <c r="I9" i="5"/>
  <c r="R9" i="5"/>
  <c r="F9" i="5"/>
  <c r="H9" i="5"/>
  <c r="G9" i="5"/>
  <c r="E55" i="5"/>
  <c r="H55" i="5"/>
  <c r="R55" i="5"/>
  <c r="I55" i="5"/>
  <c r="F55" i="5"/>
  <c r="J55" i="5"/>
  <c r="G55" i="5"/>
  <c r="G65" i="6"/>
  <c r="H65" i="6" s="1"/>
  <c r="D65" i="6" s="1"/>
  <c r="E29" i="5"/>
  <c r="F29" i="5"/>
  <c r="G29" i="5"/>
  <c r="H29" i="5"/>
  <c r="I29" i="5"/>
  <c r="J29" i="5"/>
  <c r="R29" i="5"/>
  <c r="E8" i="5"/>
  <c r="F8" i="5"/>
  <c r="R8" i="5"/>
  <c r="H8" i="5"/>
  <c r="J8" i="5"/>
  <c r="I8" i="5"/>
  <c r="R48" i="5"/>
  <c r="H48" i="5"/>
  <c r="F48" i="5"/>
  <c r="E48" i="5"/>
  <c r="I48" i="5"/>
  <c r="J48" i="5"/>
  <c r="E22" i="5"/>
  <c r="R22" i="5"/>
  <c r="F22" i="5"/>
  <c r="I22" i="5"/>
  <c r="J22" i="5"/>
  <c r="H22" i="5"/>
  <c r="E14" i="5"/>
  <c r="R14" i="5"/>
  <c r="I14" i="5"/>
  <c r="J14" i="5"/>
  <c r="H14" i="5"/>
  <c r="F14" i="5"/>
  <c r="E51" i="5"/>
  <c r="H51" i="5"/>
  <c r="R51" i="5"/>
  <c r="J51" i="5"/>
  <c r="F51" i="5"/>
  <c r="I51" i="5"/>
  <c r="G51" i="5"/>
  <c r="E33" i="5"/>
  <c r="R33" i="5"/>
  <c r="F33" i="5"/>
  <c r="J33" i="5"/>
  <c r="H33" i="5"/>
  <c r="I33" i="5"/>
  <c r="G33" i="5"/>
  <c r="E24" i="5"/>
  <c r="J24" i="5"/>
  <c r="H24" i="5"/>
  <c r="F24" i="5"/>
  <c r="R24" i="5"/>
  <c r="I24" i="5"/>
  <c r="R40" i="5"/>
  <c r="J40" i="5"/>
  <c r="E40" i="5"/>
  <c r="I40" i="5"/>
  <c r="H40" i="5"/>
  <c r="F40" i="5"/>
  <c r="H28" i="5"/>
  <c r="R28" i="5"/>
  <c r="J28" i="5"/>
  <c r="G28" i="5"/>
  <c r="F28" i="5"/>
  <c r="E28" i="5"/>
  <c r="I28" i="5"/>
  <c r="E25" i="5"/>
  <c r="H25" i="5"/>
  <c r="F25" i="5"/>
  <c r="I25" i="5"/>
  <c r="R25" i="5"/>
  <c r="J25" i="5"/>
  <c r="G25" i="5"/>
  <c r="E34" i="5"/>
  <c r="R34" i="5"/>
  <c r="I34" i="5"/>
  <c r="F34" i="5"/>
  <c r="J34" i="5"/>
  <c r="H34" i="5"/>
  <c r="G12" i="5"/>
  <c r="E12" i="5"/>
  <c r="R12" i="5"/>
  <c r="I12" i="5"/>
  <c r="J12" i="5"/>
  <c r="F12" i="5"/>
  <c r="H12" i="5"/>
  <c r="R20" i="5"/>
  <c r="J20" i="5"/>
  <c r="I20" i="5"/>
  <c r="F20" i="5"/>
  <c r="H20" i="5"/>
  <c r="G20" i="5"/>
  <c r="E20" i="5"/>
  <c r="G56" i="5"/>
  <c r="G30" i="5"/>
  <c r="E13" i="5"/>
  <c r="H13" i="5"/>
  <c r="R13" i="5"/>
  <c r="F13" i="5"/>
  <c r="J13" i="5"/>
  <c r="I13" i="5"/>
  <c r="G13" i="5"/>
  <c r="E10" i="5"/>
  <c r="F10" i="5"/>
  <c r="I10" i="5"/>
  <c r="R10" i="5"/>
  <c r="J10" i="5"/>
  <c r="H10" i="5"/>
  <c r="E37" i="5"/>
  <c r="G37" i="5"/>
  <c r="R37" i="5"/>
  <c r="J37" i="5"/>
  <c r="F37" i="5"/>
  <c r="H37" i="5"/>
  <c r="I37" i="5"/>
  <c r="I42" i="5"/>
  <c r="E42" i="5"/>
  <c r="H42" i="5"/>
  <c r="R42" i="5"/>
  <c r="J42" i="5"/>
  <c r="F42" i="5"/>
  <c r="E15" i="5"/>
  <c r="G15" i="5"/>
  <c r="H15" i="5"/>
  <c r="F15" i="5"/>
  <c r="J15" i="5"/>
  <c r="I15" i="5"/>
  <c r="R15" i="5"/>
  <c r="E54" i="5"/>
  <c r="H54" i="5"/>
  <c r="I54" i="5"/>
  <c r="F54" i="5"/>
  <c r="R54" i="5"/>
  <c r="J54" i="5"/>
  <c r="E21" i="5"/>
  <c r="J21" i="5"/>
  <c r="I21" i="5"/>
  <c r="R21" i="5"/>
  <c r="G21" i="5"/>
  <c r="F21" i="5"/>
  <c r="H21" i="5"/>
  <c r="G34" i="5"/>
  <c r="C62" i="6"/>
  <c r="D54" i="6"/>
  <c r="D57" i="6"/>
  <c r="C57" i="6"/>
  <c r="D60" i="6"/>
  <c r="C60" i="6"/>
  <c r="D58" i="6"/>
  <c r="C58" i="6"/>
  <c r="D59" i="6"/>
  <c r="C59" i="6"/>
  <c r="D55" i="6"/>
  <c r="C55" i="6"/>
  <c r="D56" i="6"/>
  <c r="C56" i="6"/>
  <c r="D46" i="6"/>
  <c r="C46" i="6"/>
  <c r="D37" i="6"/>
  <c r="C37" i="6"/>
  <c r="D36" i="6"/>
  <c r="C36" i="6"/>
  <c r="D27" i="6"/>
  <c r="C27" i="6"/>
  <c r="D26" i="6"/>
  <c r="C26" i="6"/>
  <c r="D42" i="6"/>
  <c r="C42" i="6"/>
  <c r="D41" i="6"/>
  <c r="C41" i="6"/>
  <c r="D52" i="6"/>
  <c r="C52" i="6"/>
  <c r="D51" i="6"/>
  <c r="C51" i="6"/>
  <c r="D31" i="6"/>
  <c r="C31" i="6"/>
  <c r="D47" i="6"/>
  <c r="C47" i="6"/>
  <c r="C32" i="6"/>
  <c r="D32" i="6"/>
  <c r="C64" i="6"/>
  <c r="D64" i="6"/>
  <c r="S67" i="5"/>
  <c r="S89" i="5"/>
  <c r="T67" i="5"/>
  <c r="T99" i="5"/>
  <c r="S105" i="5"/>
  <c r="S96" i="5"/>
  <c r="S86" i="5"/>
  <c r="S85" i="5"/>
  <c r="S97" i="5"/>
  <c r="S80" i="5"/>
  <c r="S91" i="5"/>
  <c r="T66" i="5"/>
  <c r="S74" i="5"/>
  <c r="S77" i="5"/>
  <c r="S93" i="5"/>
  <c r="S82" i="5"/>
  <c r="S61" i="5"/>
  <c r="S63" i="5"/>
  <c r="T100" i="5"/>
  <c r="S73" i="5"/>
  <c r="S71" i="5"/>
  <c r="S95" i="5"/>
  <c r="S75" i="5"/>
  <c r="T64" i="5"/>
  <c r="S65" i="5"/>
  <c r="S76" i="5"/>
  <c r="S98" i="5"/>
  <c r="S88" i="5"/>
  <c r="S69" i="5"/>
  <c r="S81" i="5"/>
  <c r="S87" i="5"/>
  <c r="S103" i="5"/>
  <c r="S90" i="5"/>
  <c r="T68" i="5"/>
  <c r="S83" i="5"/>
  <c r="T89" i="5"/>
  <c r="S72" i="5"/>
  <c r="S101" i="5"/>
  <c r="S62" i="5"/>
  <c r="S70" i="5"/>
  <c r="S102" i="5"/>
  <c r="S104" i="5"/>
  <c r="S92" i="5"/>
  <c r="S84" i="5"/>
  <c r="S79" i="5"/>
  <c r="S94" i="5"/>
  <c r="X89" i="5" l="1"/>
  <c r="X78" i="5"/>
  <c r="X97" i="5"/>
  <c r="X72" i="5"/>
  <c r="X81" i="5"/>
  <c r="X65" i="5"/>
  <c r="X74" i="5"/>
  <c r="X105" i="5"/>
  <c r="X73" i="5"/>
  <c r="X75" i="5"/>
  <c r="X102" i="5"/>
  <c r="X69" i="5"/>
  <c r="X63" i="5"/>
  <c r="X82" i="5"/>
  <c r="X91" i="5"/>
  <c r="X70" i="5"/>
  <c r="X94" i="5"/>
  <c r="X61" i="5"/>
  <c r="X85" i="5"/>
  <c r="X95" i="5"/>
  <c r="X90" i="5"/>
  <c r="X79" i="5"/>
  <c r="X88" i="5"/>
  <c r="X93" i="5"/>
  <c r="X86" i="5"/>
  <c r="X80" i="5"/>
  <c r="X62" i="5"/>
  <c r="X103" i="5"/>
  <c r="X98" i="5"/>
  <c r="X77" i="5"/>
  <c r="X96" i="5"/>
  <c r="X71" i="5"/>
  <c r="X101" i="5"/>
  <c r="X87" i="5"/>
  <c r="X83" i="5"/>
  <c r="X76" i="5"/>
  <c r="X104" i="5"/>
  <c r="X84" i="5"/>
  <c r="X92" i="5"/>
  <c r="D68" i="6"/>
  <c r="C68" i="6"/>
  <c r="D66" i="6"/>
  <c r="C66" i="6"/>
  <c r="X23" i="5"/>
  <c r="C65" i="6"/>
  <c r="X14" i="5"/>
  <c r="X9" i="5"/>
  <c r="X35" i="5"/>
  <c r="X47" i="5"/>
  <c r="X31" i="5"/>
  <c r="X16" i="5"/>
  <c r="G69" i="6" a="1"/>
  <c r="G69" i="6" s="1"/>
  <c r="H69" i="6" s="1"/>
  <c r="H70" i="6" s="1"/>
  <c r="D2" i="6" s="1"/>
  <c r="X5" i="5"/>
  <c r="X19" i="5"/>
  <c r="X44" i="5"/>
  <c r="C67" i="6"/>
  <c r="X48" i="5"/>
  <c r="X29" i="5"/>
  <c r="X32" i="5"/>
  <c r="X30" i="5"/>
  <c r="X17" i="5"/>
  <c r="X25" i="5"/>
  <c r="X55" i="5"/>
  <c r="X7" i="5"/>
  <c r="X15" i="5"/>
  <c r="X34" i="5"/>
  <c r="X51" i="5"/>
  <c r="X33" i="5"/>
  <c r="X6" i="5"/>
  <c r="X52" i="5"/>
  <c r="X11" i="5"/>
  <c r="X26" i="5"/>
  <c r="X45" i="5"/>
  <c r="X8" i="5"/>
  <c r="X41" i="5"/>
  <c r="X42" i="5"/>
  <c r="X37" i="5"/>
  <c r="X20" i="5"/>
  <c r="X49" i="5"/>
  <c r="X38" i="5"/>
  <c r="X57" i="5"/>
  <c r="X54" i="5"/>
  <c r="X12" i="5"/>
  <c r="X28" i="5"/>
  <c r="X13" i="5"/>
  <c r="X40" i="5"/>
  <c r="X24" i="5"/>
  <c r="X18" i="5"/>
  <c r="X46" i="5"/>
  <c r="X21" i="5"/>
  <c r="X10" i="5"/>
  <c r="X50" i="5"/>
  <c r="X60" i="5"/>
  <c r="X58" i="5"/>
  <c r="X36" i="5"/>
  <c r="X22" i="5"/>
  <c r="X53" i="5"/>
  <c r="X39" i="5"/>
  <c r="X43" i="5"/>
  <c r="X27" i="5"/>
  <c r="X59" i="5"/>
  <c r="X56" i="5"/>
  <c r="T94" i="5"/>
  <c r="T90" i="5"/>
  <c r="T75" i="5"/>
  <c r="T74" i="5"/>
  <c r="T85" i="5"/>
  <c r="T79" i="5"/>
  <c r="T103" i="5"/>
  <c r="T95" i="5"/>
  <c r="T91" i="5"/>
  <c r="T105" i="5"/>
  <c r="S30" i="5"/>
  <c r="S41" i="5"/>
  <c r="S37" i="5"/>
  <c r="S16" i="5"/>
  <c r="S27" i="5"/>
  <c r="S50" i="5"/>
  <c r="S19" i="5"/>
  <c r="T92" i="5"/>
  <c r="T87" i="5"/>
  <c r="T71" i="5"/>
  <c r="T80" i="5"/>
  <c r="T83" i="5"/>
  <c r="S25" i="5"/>
  <c r="S13" i="5"/>
  <c r="S49" i="5"/>
  <c r="S34" i="5"/>
  <c r="S17" i="5"/>
  <c r="S56" i="5"/>
  <c r="S32" i="5"/>
  <c r="T104" i="5"/>
  <c r="T81" i="5"/>
  <c r="T73" i="5"/>
  <c r="T97" i="5"/>
  <c r="T70" i="5"/>
  <c r="S31" i="5"/>
  <c r="S6" i="5"/>
  <c r="S18" i="5"/>
  <c r="S57" i="5"/>
  <c r="S5" i="5"/>
  <c r="S51" i="5"/>
  <c r="S35" i="5"/>
  <c r="T102" i="5"/>
  <c r="T69" i="5"/>
  <c r="T63" i="5"/>
  <c r="T86" i="5"/>
  <c r="T98" i="5"/>
  <c r="S15" i="5"/>
  <c r="S26" i="5"/>
  <c r="S7" i="5"/>
  <c r="S40" i="5"/>
  <c r="S48" i="5"/>
  <c r="S45" i="5"/>
  <c r="S29" i="5"/>
  <c r="T62" i="5"/>
  <c r="T88" i="5"/>
  <c r="T61" i="5"/>
  <c r="T96" i="5"/>
  <c r="S20" i="5"/>
  <c r="S38" i="5"/>
  <c r="S52" i="5"/>
  <c r="S46" i="5"/>
  <c r="S55" i="5"/>
  <c r="S42" i="5"/>
  <c r="S23" i="5"/>
  <c r="T101" i="5"/>
  <c r="T76" i="5"/>
  <c r="T82" i="5"/>
  <c r="T84" i="5"/>
  <c r="S78" i="5"/>
  <c r="S24" i="5"/>
  <c r="S54" i="5"/>
  <c r="S28" i="5"/>
  <c r="S58" i="5"/>
  <c r="S12" i="5"/>
  <c r="S33" i="5"/>
  <c r="S47" i="5"/>
  <c r="T72" i="5"/>
  <c r="T65" i="5"/>
  <c r="T93" i="5"/>
  <c r="T77" i="5"/>
  <c r="S36" i="5"/>
  <c r="S21" i="5"/>
  <c r="S39" i="5"/>
  <c r="S22" i="5"/>
  <c r="S10" i="5"/>
  <c r="S11" i="5"/>
  <c r="S44" i="5"/>
  <c r="S43" i="5"/>
  <c r="S53" i="5"/>
  <c r="S59" i="5"/>
  <c r="S9" i="5"/>
  <c r="S60" i="5"/>
  <c r="S8" i="5"/>
  <c r="S14" i="5"/>
  <c r="T14" i="5"/>
  <c r="T11" i="5"/>
  <c r="T12" i="5"/>
  <c r="T55" i="5"/>
  <c r="T40" i="5"/>
  <c r="T18" i="5"/>
  <c r="T13" i="5"/>
  <c r="T30" i="5"/>
  <c r="T46" i="5"/>
  <c r="T7" i="5"/>
  <c r="T6" i="5"/>
  <c r="T25" i="5"/>
  <c r="T52" i="5"/>
  <c r="T26" i="5"/>
  <c r="T31" i="5"/>
  <c r="T19" i="5"/>
  <c r="T54" i="5"/>
  <c r="T38" i="5"/>
  <c r="T15" i="5"/>
  <c r="T50" i="5"/>
  <c r="T59" i="5"/>
  <c r="T21" i="5"/>
  <c r="T24" i="5"/>
  <c r="T20" i="5"/>
  <c r="T56" i="5"/>
  <c r="T27" i="5"/>
  <c r="T36" i="5"/>
  <c r="T29" i="5"/>
  <c r="T51" i="5"/>
  <c r="T16" i="5"/>
  <c r="T47" i="5"/>
  <c r="T23" i="5"/>
  <c r="T45" i="5"/>
  <c r="T5" i="5"/>
  <c r="T37" i="5"/>
  <c r="T44" i="5"/>
  <c r="T33" i="5"/>
  <c r="T57" i="5"/>
  <c r="T49" i="5"/>
  <c r="T8" i="5"/>
  <c r="T10" i="5"/>
  <c r="T58" i="5"/>
  <c r="T34" i="5"/>
  <c r="T60" i="5"/>
  <c r="T22" i="5"/>
  <c r="T28" i="5"/>
  <c r="T17" i="5"/>
  <c r="T9" i="5"/>
  <c r="T39" i="5"/>
  <c r="T32" i="5"/>
  <c r="T35" i="5"/>
  <c r="T41" i="5"/>
  <c r="T53" i="5"/>
  <c r="T78" i="5"/>
  <c r="T48" i="5"/>
  <c r="T43" i="5"/>
  <c r="T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<sst xmlns="http://schemas.openxmlformats.org/spreadsheetml/2006/main" count="22530" uniqueCount="15804">
  <si>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</si>
  <si>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</si>
  <si>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</si>
  <si>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</si>
  <si>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</si>
  <si>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</si>
  <si>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</si>
  <si>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</si>
  <si>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</si>
  <si>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</si>
  <si>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</si>
  <si>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</si>
  <si>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</si>
  <si>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</si>
  <si>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</si>
  <si>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</si>
  <si>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</si>
  <si>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</si>
  <si>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</si>
  <si>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</si>
  <si>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</si>
  <si>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</si>
  <si>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</si>
  <si>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</si>
  <si>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</si>
  <si>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</si>
  <si>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</si>
  <si>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</si>
  <si>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</si>
  <si>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</si>
  <si>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</si>
  <si>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</si>
  <si>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</si>
  <si>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</si>
  <si>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</si>
  <si>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</si>
  <si>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</si>
  <si>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</si>
  <si>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</si>
  <si>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</si>
  <si>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</si>
  <si>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</si>
  <si>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</si>
  <si>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</si>
  <si>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</si>
  <si>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</si>
  <si>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</si>
  <si>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</si>
  <si>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</si>
  <si>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</si>
  <si>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</si>
  <si>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</si>
  <si>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</si>
  <si>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</si>
  <si>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</si>
  <si>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</si>
  <si>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</si>
  <si>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</si>
  <si>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</si>
  <si>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</si>
  <si>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</si>
  <si>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</si>
  <si>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</si>
  <si>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</si>
  <si>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</si>
  <si>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</si>
  <si>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</si>
  <si>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</si>
  <si>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</si>
  <si>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</si>
  <si>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</si>
  <si>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</si>
  <si>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</si>
  <si>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</si>
  <si>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</si>
  <si>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</si>
  <si>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</si>
  <si>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</si>
  <si>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</si>
  <si>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</si>
  <si>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</si>
  <si>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</si>
  <si>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</si>
  <si>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</si>
  <si>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</si>
  <si>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</si>
  <si>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</si>
  <si>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</si>
  <si>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</si>
  <si>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</si>
  <si>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</si>
  <si>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</si>
  <si>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</si>
  <si>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</si>
  <si>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</si>
  <si>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</si>
  <si>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</si>
  <si>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</si>
  <si>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</si>
  <si>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</si>
  <si>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</si>
  <si>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</si>
  <si>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</si>
  <si>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</si>
  <si>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</si>
  <si>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</si>
  <si>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</si>
  <si>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</si>
  <si>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</si>
  <si>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</si>
  <si>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</si>
  <si>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</si>
  <si>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</si>
  <si>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</si>
  <si>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</si>
  <si>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</si>
  <si>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</si>
  <si>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</si>
  <si>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</si>
  <si>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</si>
  <si>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</si>
  <si>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</si>
  <si>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</si>
  <si>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</si>
  <si>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</si>
  <si>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</si>
  <si>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</si>
  <si>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</si>
  <si>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</si>
  <si>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</si>
  <si>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</si>
  <si>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</si>
  <si>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</si>
  <si>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</si>
  <si>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</si>
  <si>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</si>
  <si>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</si>
  <si>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</si>
  <si>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</si>
  <si>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</si>
  <si>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</si>
  <si>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</si>
  <si>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</si>
  <si>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</si>
  <si>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</si>
  <si>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</si>
  <si>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</si>
  <si>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</si>
  <si>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</si>
  <si>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</si>
  <si>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</si>
  <si>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</si>
  <si>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</si>
  <si>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</si>
  <si>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</si>
  <si>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</si>
  <si>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</si>
  <si>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</si>
  <si>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</si>
  <si>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</si>
  <si>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</si>
  <si>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</si>
  <si>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</si>
  <si>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</si>
  <si>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</si>
  <si>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</si>
  <si>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</si>
  <si>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</si>
  <si>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</si>
  <si>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</si>
  <si>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</si>
  <si>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</si>
  <si>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</si>
  <si>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</si>
  <si>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</si>
  <si>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</si>
  <si>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</si>
  <si>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</si>
  <si>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</si>
  <si>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</si>
  <si>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</si>
  <si>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</si>
  <si>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</si>
  <si>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</si>
  <si>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</si>
  <si>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</si>
  <si>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</si>
  <si>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</si>
  <si>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</si>
  <si>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</si>
  <si>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</si>
  <si>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</si>
  <si>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</si>
  <si>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</si>
  <si>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</si>
  <si>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</si>
  <si>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</si>
  <si>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</si>
  <si>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</si>
  <si>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</si>
  <si>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</si>
  <si>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</si>
  <si>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</si>
  <si>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</si>
  <si>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</si>
  <si>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</si>
  <si>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</si>
  <si>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</si>
  <si>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</si>
  <si>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</si>
  <si>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</si>
  <si>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</si>
  <si>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</si>
  <si>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</si>
  <si>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</si>
  <si>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</si>
  <si>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</si>
  <si>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</si>
  <si>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</si>
  <si>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</si>
  <si>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</si>
  <si>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</si>
  <si>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</si>
  <si>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</si>
  <si>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</si>
  <si>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</si>
  <si>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</si>
  <si>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</si>
  <si>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</si>
  <si>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</si>
  <si>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</si>
  <si>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</si>
  <si>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</si>
  <si>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</si>
  <si>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</si>
  <si>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</si>
  <si>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</si>
  <si>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</si>
  <si>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</si>
  <si>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</si>
  <si>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</si>
  <si>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</si>
  <si>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</si>
  <si>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</si>
  <si>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</si>
  <si>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</si>
  <si>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</si>
  <si>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</si>
  <si>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</si>
  <si>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</si>
  <si>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</si>
  <si>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</si>
  <si>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</si>
  <si>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</si>
  <si>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</si>
  <si>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</si>
  <si>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</si>
  <si>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</si>
  <si>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</si>
  <si>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</si>
  <si>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</si>
  <si>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</si>
  <si>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</si>
  <si>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</si>
  <si>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</si>
  <si>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</si>
  <si>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</si>
  <si>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</si>
  <si>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</si>
  <si>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</si>
  <si>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</si>
  <si>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</si>
  <si>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</si>
  <si>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</si>
  <si>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</si>
  <si>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</si>
  <si>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</si>
  <si>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</si>
  <si>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</si>
  <si>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</si>
  <si>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</si>
  <si>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</si>
  <si>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</si>
  <si>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</si>
  <si>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</si>
  <si>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</si>
  <si>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</si>
  <si>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</si>
  <si>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</si>
  <si>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</si>
  <si>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</si>
  <si>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</si>
  <si>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</si>
  <si>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</si>
  <si>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</si>
  <si>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</si>
  <si>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</si>
  <si>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</si>
  <si>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</si>
  <si>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</si>
  <si>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</si>
  <si>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</si>
  <si>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</si>
  <si>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</si>
  <si>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</si>
  <si>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</si>
  <si>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</si>
  <si>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</si>
  <si>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</si>
  <si>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</si>
  <si>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</si>
  <si>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</si>
  <si>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</si>
  <si>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</si>
  <si>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</si>
  <si>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</si>
  <si>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</si>
  <si>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</si>
  <si>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</si>
  <si>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</si>
  <si>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</si>
  <si>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</si>
  <si>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</si>
  <si>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</si>
  <si>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</si>
  <si>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</si>
  <si>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</si>
  <si>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</si>
  <si>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</si>
  <si>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</si>
  <si>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</si>
  <si>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</si>
  <si>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</si>
  <si>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</si>
  <si>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</si>
  <si>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</si>
  <si>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</si>
  <si>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</si>
  <si>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</si>
  <si>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</si>
  <si>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</si>
  <si>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</si>
  <si>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</si>
  <si>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</si>
  <si>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</si>
  <si>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</si>
  <si>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</si>
  <si>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</si>
  <si>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</si>
  <si>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</si>
  <si>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</si>
  <si>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</si>
  <si>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</si>
  <si>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</si>
  <si>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</si>
  <si>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</si>
  <si>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</si>
  <si>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</si>
  <si>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</si>
  <si>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</si>
  <si>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</si>
  <si>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</si>
  <si>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</si>
  <si>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</si>
  <si>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</si>
  <si>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</si>
  <si>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</si>
  <si>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</si>
  <si>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</si>
  <si>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</si>
  <si>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</si>
  <si>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</si>
  <si>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</si>
  <si>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</si>
  <si>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</si>
  <si>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</si>
  <si>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</si>
  <si>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</si>
  <si>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</si>
  <si>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</si>
  <si>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</si>
  <si>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</si>
  <si>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</si>
  <si>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</si>
  <si>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</si>
  <si>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</si>
  <si>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</si>
  <si>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</si>
  <si>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</si>
  <si>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</si>
  <si>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</si>
  <si>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</si>
  <si>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</si>
  <si>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</si>
  <si>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</si>
  <si>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</si>
  <si>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</si>
  <si>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</si>
  <si>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</si>
  <si>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</si>
  <si>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</si>
  <si>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</si>
  <si>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</si>
  <si>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</si>
  <si>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</si>
  <si>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</si>
  <si>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</si>
  <si>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</si>
  <si>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</si>
  <si>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</si>
  <si>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</si>
  <si>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</si>
  <si>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</si>
  <si>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</si>
  <si>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</si>
  <si>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</si>
  <si>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</si>
  <si>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</si>
  <si>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</si>
  <si>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</si>
  <si>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</si>
  <si>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</si>
  <si>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</si>
  <si>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</si>
  <si>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</si>
  <si>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</si>
  <si>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</si>
  <si>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</si>
  <si>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</si>
  <si>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</si>
  <si>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</si>
  <si>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</si>
  <si>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</si>
  <si>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</si>
  <si>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</si>
  <si>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</si>
  <si>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</si>
  <si>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</si>
  <si>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</si>
  <si>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</si>
  <si>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</si>
  <si>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</si>
  <si>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</si>
  <si>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</si>
  <si>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</si>
  <si>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</si>
  <si>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</si>
  <si>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</si>
  <si>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</si>
  <si>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</si>
  <si>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</si>
  <si>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</si>
  <si>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</si>
  <si>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</si>
  <si>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</si>
  <si>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</si>
  <si>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</si>
  <si>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</si>
  <si>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</si>
  <si>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</si>
  <si>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</si>
  <si>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</si>
  <si>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</si>
  <si>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</si>
  <si>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</si>
  <si>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</si>
  <si>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</si>
  <si>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</si>
  <si>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</si>
  <si>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</si>
  <si>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</si>
  <si>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</si>
  <si>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</si>
  <si>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</si>
  <si>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</si>
  <si>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</si>
  <si>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</si>
  <si>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</si>
  <si>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</si>
  <si>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</si>
  <si>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</si>
  <si>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</si>
  <si>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</si>
  <si>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</si>
  <si>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</si>
  <si>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</si>
  <si>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</si>
  <si>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</si>
  <si>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</si>
  <si>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</si>
  <si>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</si>
  <si>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</si>
  <si>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</si>
  <si>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</si>
  <si>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</si>
  <si>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</si>
  <si>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</si>
  <si>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</si>
  <si>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</si>
  <si>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</si>
  <si>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</si>
  <si>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</si>
  <si>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</si>
  <si>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</si>
  <si>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</si>
  <si>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</si>
  <si>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</si>
  <si>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</si>
  <si>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</si>
  <si>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</si>
  <si>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</si>
  <si>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</si>
  <si>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</si>
  <si>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</si>
  <si>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</si>
  <si>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</si>
  <si>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</si>
  <si>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</si>
  <si>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</si>
  <si>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</si>
  <si>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</si>
  <si>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</si>
  <si>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</si>
  <si>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</si>
  <si>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</si>
  <si>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</si>
  <si>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</si>
  <si>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</si>
  <si>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</si>
  <si>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</si>
  <si>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</si>
  <si>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</si>
  <si>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</si>
  <si>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</si>
  <si>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</si>
  <si>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</si>
  <si>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</si>
  <si>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</si>
  <si>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</si>
  <si>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</si>
  <si>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</si>
  <si>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</si>
  <si>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</si>
  <si>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</si>
  <si>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</si>
  <si>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</si>
  <si>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</si>
  <si>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</si>
  <si>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</si>
  <si>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</si>
  <si>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</si>
  <si>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</si>
  <si>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</si>
  <si>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</si>
  <si>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</si>
  <si>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</si>
  <si>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</si>
  <si>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</si>
  <si>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</si>
  <si>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</si>
  <si>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</si>
  <si>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</si>
  <si>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</si>
  <si>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</si>
  <si>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</si>
  <si>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</si>
  <si>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</si>
  <si>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</si>
  <si>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</si>
  <si>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</si>
  <si>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</si>
  <si>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</si>
  <si>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</si>
  <si>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</si>
  <si>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</si>
  <si>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</si>
  <si>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</si>
  <si>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</si>
  <si>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</si>
  <si>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</si>
  <si>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</si>
  <si>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</si>
  <si>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</si>
  <si>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</si>
  <si>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</si>
  <si>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</si>
  <si>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</si>
  <si>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</si>
  <si>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</si>
  <si>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</si>
  <si>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</si>
  <si>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</si>
  <si>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</si>
  <si>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</si>
  <si>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</si>
  <si>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</si>
  <si>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</si>
  <si>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</si>
  <si>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</si>
  <si>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</si>
  <si>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</si>
  <si>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</si>
  <si>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</si>
  <si>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</si>
  <si>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</si>
  <si>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</si>
  <si>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</si>
  <si>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</si>
  <si>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</si>
  <si>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</si>
  <si>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</si>
  <si>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</si>
  <si>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</si>
  <si>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</si>
  <si>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</si>
  <si>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</si>
  <si>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</si>
  <si>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</si>
  <si>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</si>
  <si>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</si>
  <si>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</si>
  <si>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</si>
  <si>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</si>
  <si>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</si>
  <si>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</si>
  <si>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</si>
  <si>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</si>
  <si>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</si>
  <si>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</si>
  <si>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</si>
  <si>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</si>
  <si>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</si>
  <si>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</si>
  <si>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</si>
  <si>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</si>
  <si>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</si>
  <si>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</si>
  <si>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</si>
  <si>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</si>
  <si>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</si>
  <si>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</si>
  <si>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</si>
  <si>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</si>
  <si>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</si>
  <si>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</si>
  <si>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</si>
  <si>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</si>
  <si>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</si>
  <si>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</si>
  <si>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</si>
  <si>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</si>
  <si>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</si>
  <si>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</si>
  <si>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</si>
  <si>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</si>
  <si>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</si>
  <si>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</si>
  <si>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</si>
  <si>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</si>
  <si>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</si>
  <si>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</si>
  <si>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</si>
  <si>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</si>
  <si>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</si>
  <si>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</si>
  <si>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</si>
  <si>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</si>
  <si>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</si>
  <si>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</si>
  <si>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</si>
  <si>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</si>
  <si>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</si>
  <si>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</si>
  <si>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</si>
  <si>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</si>
  <si>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</si>
  <si>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</si>
  <si>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</si>
  <si>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</si>
  <si>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</si>
  <si>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</si>
  <si>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</si>
  <si>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</si>
  <si>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</si>
  <si>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</si>
  <si>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</si>
  <si>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</si>
  <si>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</si>
  <si>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</si>
  <si>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</si>
  <si>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</si>
  <si>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</si>
  <si>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</si>
  <si>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</si>
  <si>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</si>
  <si>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</si>
  <si>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</si>
  <si>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</si>
  <si>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</si>
  <si>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</si>
  <si>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</si>
  <si>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</si>
  <si>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</si>
  <si>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</si>
  <si>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</si>
  <si>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</si>
  <si>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</si>
  <si>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</si>
  <si>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</si>
  <si>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</si>
  <si>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</si>
  <si>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</si>
  <si>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</si>
  <si>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</si>
  <si>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</si>
  <si>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</si>
  <si>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</si>
  <si>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</si>
  <si>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</si>
  <si>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</si>
  <si>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</si>
  <si>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</si>
  <si>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</si>
  <si>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</si>
  <si>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</si>
  <si>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</si>
  <si>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</si>
  <si>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</si>
  <si>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</si>
  <si>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</si>
  <si>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</si>
  <si>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</si>
  <si>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</si>
  <si>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</si>
  <si>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</si>
  <si>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</si>
  <si>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</si>
  <si>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</si>
  <si>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</si>
  <si>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</si>
  <si>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</si>
  <si>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</si>
  <si>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</si>
  <si>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</si>
  <si>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</si>
  <si>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</si>
  <si>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</si>
  <si>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</si>
  <si>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</si>
  <si>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</si>
  <si>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</si>
  <si>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</si>
  <si>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</si>
  <si>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</si>
  <si>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</si>
  <si>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</si>
  <si>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</si>
  <si>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</si>
  <si>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</si>
  <si>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</si>
  <si>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</si>
  <si>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</si>
  <si>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</si>
  <si>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</si>
  <si>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</si>
  <si>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</si>
  <si>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</si>
  <si>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</si>
  <si>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</si>
  <si>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</si>
  <si>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</si>
  <si>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</si>
  <si>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</si>
  <si>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</si>
  <si>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</si>
  <si>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</si>
  <si>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</si>
  <si>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</si>
  <si>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</si>
  <si>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</si>
  <si>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</si>
  <si>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</si>
  <si>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</si>
  <si>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</si>
  <si>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</si>
  <si>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</si>
  <si>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</si>
  <si>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</si>
  <si>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</si>
  <si>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</si>
  <si>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</si>
  <si>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</si>
  <si>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</si>
  <si>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</si>
  <si>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</si>
  <si>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</si>
  <si>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</si>
  <si>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</si>
  <si>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</si>
  <si>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</si>
  <si>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</si>
  <si>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</si>
  <si>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</si>
  <si>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</si>
  <si>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</si>
  <si>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</si>
  <si>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</si>
  <si>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</si>
  <si>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</si>
  <si>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</si>
  <si>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</si>
  <si>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</si>
  <si>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</si>
  <si>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</si>
  <si>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</si>
  <si>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</si>
  <si>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</si>
  <si>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</si>
  <si>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</si>
  <si>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</si>
  <si>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</si>
  <si>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</si>
  <si>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</si>
  <si>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</si>
  <si>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</si>
  <si>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</si>
  <si>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</si>
  <si>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</si>
  <si>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</si>
  <si>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</si>
  <si>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</si>
  <si>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</si>
  <si>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</si>
  <si>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</si>
  <si>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</si>
  <si>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</si>
  <si>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</si>
  <si>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</si>
  <si>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</si>
  <si>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</si>
  <si>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</si>
  <si>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</si>
  <si>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</si>
  <si>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</si>
  <si>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</si>
  <si>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</si>
  <si>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</si>
  <si>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</si>
  <si>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</si>
  <si>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</si>
  <si>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</si>
  <si>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</si>
  <si>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</si>
  <si>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</si>
  <si>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</si>
  <si>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</si>
  <si>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</si>
  <si>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</si>
  <si>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</si>
  <si>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</si>
  <si>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</si>
  <si>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</si>
  <si>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</si>
  <si>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</si>
  <si>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</si>
  <si>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</si>
  <si>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</si>
  <si>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</si>
  <si>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</si>
  <si>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</si>
  <si>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</si>
  <si>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</si>
  <si>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</si>
  <si>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</si>
  <si>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</si>
  <si>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</si>
  <si>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</si>
  <si>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</si>
  <si>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</si>
  <si>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</si>
  <si>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</si>
  <si>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</si>
  <si>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</si>
  <si>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</si>
  <si>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</si>
  <si>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</si>
  <si>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</si>
  <si>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</si>
  <si>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</si>
  <si>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</si>
  <si>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</si>
  <si>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</si>
  <si>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</si>
  <si>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</si>
  <si>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</si>
  <si>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</si>
  <si>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</si>
  <si>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</si>
  <si>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</si>
  <si>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</si>
  <si>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</si>
  <si>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</si>
  <si>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</si>
  <si>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</si>
  <si>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</si>
  <si>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</si>
  <si>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</si>
  <si>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</si>
  <si>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</si>
  <si>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</si>
  <si>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</si>
  <si>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</si>
  <si>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</si>
  <si>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</si>
  <si>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</si>
  <si>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</si>
  <si>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</si>
  <si>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</si>
  <si>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</si>
  <si>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</si>
  <si>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</si>
  <si>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</si>
  <si>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</si>
  <si>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</si>
  <si>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</si>
  <si>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</si>
  <si>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</si>
  <si>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</si>
  <si>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</si>
  <si>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</si>
  <si>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</si>
  <si>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</si>
  <si>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</si>
  <si>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</si>
  <si>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</si>
  <si>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</si>
  <si>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</si>
  <si>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</si>
  <si>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</si>
  <si>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</si>
  <si>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</si>
  <si>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</si>
  <si>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</si>
  <si>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</si>
  <si>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</si>
  <si>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</si>
  <si>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</si>
  <si>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</si>
  <si>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</si>
  <si>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</si>
  <si>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</si>
  <si>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</si>
  <si>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</si>
  <si>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</si>
  <si>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</si>
  <si>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</si>
  <si>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</si>
  <si>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</si>
  <si>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</si>
  <si>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</si>
  <si>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</si>
  <si>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</si>
  <si>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</si>
  <si>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</si>
  <si>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</si>
  <si>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</si>
  <si>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</si>
  <si>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</si>
  <si>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</si>
  <si>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</si>
  <si>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</si>
  <si>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</si>
  <si>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</si>
  <si>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</si>
  <si>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</si>
  <si>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</si>
  <si>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</si>
  <si>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</si>
  <si>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</si>
  <si>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</si>
  <si>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</si>
  <si>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</si>
  <si>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</si>
  <si>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</si>
  <si>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</si>
  <si>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</si>
  <si>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</si>
  <si>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</si>
  <si>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</si>
  <si>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</si>
  <si>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</si>
  <si>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</si>
  <si>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</si>
  <si>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</si>
  <si>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</si>
  <si>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</si>
  <si>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</si>
  <si>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</si>
  <si>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</si>
  <si>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</si>
  <si>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</si>
  <si>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</si>
  <si>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</si>
  <si>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</si>
  <si>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</si>
  <si>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</si>
  <si>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</si>
  <si>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</si>
  <si>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</si>
  <si>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</si>
  <si>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</si>
  <si>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</si>
  <si>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</si>
  <si>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</si>
  <si>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</si>
  <si>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</si>
  <si>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</si>
  <si>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</si>
  <si>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</si>
  <si>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</si>
  <si>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</si>
  <si>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</si>
  <si>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</si>
  <si>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</si>
  <si>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</si>
  <si>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</si>
  <si>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</si>
  <si>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</si>
  <si>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</si>
  <si>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</si>
  <si>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</si>
  <si>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</si>
  <si>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</si>
  <si>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</si>
  <si>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</si>
  <si>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</si>
  <si>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</si>
  <si>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</si>
  <si>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</si>
  <si>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</si>
  <si>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</si>
  <si>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</si>
  <si>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</si>
  <si>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</si>
  <si>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</si>
  <si>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</si>
  <si>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</si>
  <si>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</si>
  <si>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</si>
  <si>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</si>
  <si>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</si>
  <si>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</si>
  <si>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</si>
  <si>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</si>
  <si>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</si>
  <si>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</si>
  <si>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</si>
  <si>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</si>
  <si>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</si>
  <si>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</si>
  <si>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</si>
  <si>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</si>
  <si>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</si>
  <si>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</si>
  <si>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</si>
  <si>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</si>
  <si>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</si>
  <si>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</si>
  <si>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</si>
  <si>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</si>
  <si>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</si>
  <si>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</si>
  <si>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</si>
  <si>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</si>
  <si>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</si>
  <si>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</si>
  <si>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</si>
  <si>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</si>
  <si>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</si>
  <si>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</si>
  <si>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</si>
  <si>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</si>
  <si>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</si>
  <si>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</si>
  <si>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</si>
  <si>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</si>
  <si>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</si>
  <si>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</si>
  <si>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</si>
  <si>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</si>
  <si>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</si>
  <si>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</si>
  <si>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</si>
  <si>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</si>
  <si>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</si>
  <si>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</si>
  <si>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</si>
  <si>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</si>
  <si>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</si>
  <si>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</si>
  <si>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</si>
  <si>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</si>
  <si>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</si>
  <si>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</si>
  <si>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</si>
  <si>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</si>
  <si>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</si>
  <si>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</si>
  <si>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</si>
  <si>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</si>
  <si>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</si>
  <si>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</si>
  <si>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</si>
  <si>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</si>
  <si>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</si>
  <si>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</si>
  <si>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</si>
  <si>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</si>
  <si>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</si>
  <si>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</si>
  <si>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</si>
  <si>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</si>
  <si>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</si>
  <si>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</si>
  <si>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</si>
  <si>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</si>
  <si>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</si>
  <si>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</si>
  <si>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</si>
  <si>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</si>
  <si>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</si>
  <si>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</si>
  <si>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</si>
  <si>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</si>
  <si>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</si>
  <si>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</si>
  <si>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</si>
  <si>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</si>
  <si>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</si>
  <si>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</si>
  <si>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</si>
  <si>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</si>
  <si>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</si>
  <si>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</si>
  <si>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</si>
  <si>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</si>
  <si>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</si>
  <si>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</si>
  <si>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</si>
  <si>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</si>
  <si>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</si>
  <si>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</si>
  <si>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</si>
  <si>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</si>
  <si>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</si>
  <si>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</si>
  <si>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</si>
  <si>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</si>
  <si>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</si>
  <si>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</si>
  <si>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</si>
  <si>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</si>
  <si>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</si>
  <si>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</si>
  <si>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</si>
  <si>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</si>
  <si>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</si>
  <si>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</si>
  <si>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</si>
  <si>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</si>
  <si>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</si>
  <si>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</si>
  <si>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</si>
  <si>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</si>
  <si>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</si>
  <si>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</si>
  <si>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</si>
  <si>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</si>
  <si>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</si>
  <si>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</si>
  <si>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</si>
  <si>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</si>
  <si>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</si>
  <si>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</si>
  <si>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</si>
  <si>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</si>
  <si>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</si>
  <si>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</si>
  <si>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</si>
  <si>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</si>
  <si>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</si>
  <si>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</si>
  <si>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</si>
  <si>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</si>
  <si>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</si>
  <si>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</si>
  <si>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</si>
  <si>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</si>
  <si>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</si>
  <si>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</si>
  <si>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</si>
  <si>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</si>
  <si>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</si>
  <si>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</si>
  <si>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</si>
  <si>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</si>
  <si>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</si>
  <si>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</si>
  <si>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</si>
  <si>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</si>
  <si>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</si>
  <si>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</si>
  <si>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</si>
  <si>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</si>
  <si>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</si>
  <si>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</si>
  <si>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</si>
  <si>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</si>
  <si>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</si>
  <si>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</si>
  <si>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</si>
  <si>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</si>
  <si>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</si>
  <si>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</si>
  <si>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</si>
  <si>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</si>
  <si>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</si>
  <si>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</si>
  <si>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</si>
  <si>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</si>
  <si>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</si>
  <si>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</si>
  <si>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</si>
  <si>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</si>
  <si>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</si>
  <si>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</si>
  <si>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</si>
  <si>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</si>
  <si>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</si>
  <si>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</si>
  <si>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</si>
  <si>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</si>
  <si>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</si>
  <si>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</si>
  <si>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</si>
  <si>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</si>
  <si>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</si>
  <si>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</si>
  <si>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</si>
  <si>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</si>
  <si>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</si>
  <si>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</si>
  <si>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</si>
  <si>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</si>
  <si>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</si>
  <si>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</si>
  <si>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</si>
  <si>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</si>
  <si>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</si>
  <si>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</si>
  <si>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</si>
  <si>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</si>
  <si>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</si>
  <si>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</si>
  <si>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</si>
  <si>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</si>
  <si>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</si>
  <si>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</si>
  <si>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</si>
  <si>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</si>
  <si>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</si>
  <si>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</si>
  <si>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</si>
  <si>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</si>
  <si>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</si>
  <si>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</si>
  <si>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</si>
  <si>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</si>
  <si>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</si>
  <si>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</si>
  <si>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</si>
  <si>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</si>
  <si>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</si>
  <si>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</si>
  <si>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</si>
  <si>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</si>
  <si>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</si>
  <si>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</si>
  <si>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</si>
  <si>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</si>
  <si>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</si>
  <si>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</si>
  <si>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</si>
  <si>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</si>
  <si>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</si>
  <si>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</si>
  <si>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</si>
  <si>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</si>
  <si>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</si>
  <si>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</si>
  <si>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</si>
  <si>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</si>
  <si>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</si>
  <si>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</si>
  <si>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</si>
  <si>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</si>
  <si>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</si>
  <si>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</si>
  <si>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</si>
  <si>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</si>
  <si>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</si>
  <si>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</si>
  <si>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</si>
  <si>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</si>
  <si>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</si>
  <si>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</si>
  <si>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</si>
  <si>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</si>
  <si>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</si>
  <si>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</si>
  <si>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</si>
  <si>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</si>
  <si>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</si>
  <si>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</si>
  <si>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</si>
  <si>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</si>
  <si>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</si>
  <si>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</si>
  <si>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</si>
  <si>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</si>
  <si>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</si>
  <si>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</si>
  <si>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</si>
  <si>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</si>
  <si>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</si>
  <si>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</si>
  <si>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</si>
  <si>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</si>
  <si>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</si>
  <si>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</si>
  <si>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</si>
  <si>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</si>
  <si>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</si>
  <si>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</si>
  <si>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</si>
  <si>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</si>
  <si>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</si>
  <si>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</si>
  <si>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</si>
  <si>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</si>
  <si>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</si>
  <si>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</si>
  <si>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</si>
  <si>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</si>
  <si>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</si>
  <si>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</si>
  <si>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</si>
  <si>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</si>
  <si>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</si>
  <si>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</si>
  <si>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</si>
  <si>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</si>
  <si>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</si>
  <si>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</si>
  <si>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</si>
  <si>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</si>
  <si>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</si>
  <si>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</si>
  <si>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</si>
  <si>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</si>
  <si>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</si>
  <si>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</si>
  <si>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</si>
  <si>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</si>
  <si>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</si>
  <si>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</si>
  <si>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</si>
  <si>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</si>
  <si>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</si>
  <si>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</si>
  <si>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</si>
  <si>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</si>
  <si>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</si>
  <si>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</si>
  <si>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</si>
  <si>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</si>
  <si>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</si>
  <si>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</si>
  <si>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</si>
  <si>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</si>
  <si>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</si>
  <si>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</si>
  <si>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</si>
  <si>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</si>
  <si>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</si>
  <si>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</si>
  <si>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</si>
  <si>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</si>
  <si>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</si>
  <si>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</si>
  <si>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</si>
  <si>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</si>
  <si>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</si>
  <si>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</si>
  <si>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</si>
  <si>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</si>
  <si>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</si>
  <si>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</si>
  <si>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</si>
  <si>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</si>
  <si>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</si>
  <si>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</si>
  <si>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</si>
  <si>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</si>
  <si>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</si>
  <si>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</si>
  <si>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</si>
  <si>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</si>
  <si>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</si>
  <si>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</si>
  <si>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</si>
  <si>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</si>
  <si>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</si>
  <si>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</si>
  <si>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</si>
  <si>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</si>
  <si>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</si>
  <si>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</si>
  <si>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</si>
  <si>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</si>
  <si>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</si>
  <si>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</si>
  <si>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</si>
  <si>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</si>
  <si>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</si>
  <si>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</si>
  <si>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</si>
  <si>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</si>
  <si>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</si>
  <si>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</si>
  <si>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</si>
  <si>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</si>
  <si>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</si>
  <si>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</si>
  <si>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</si>
  <si>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</si>
  <si>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</si>
  <si>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</si>
  <si>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</si>
  <si>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</si>
  <si>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</si>
  <si>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</si>
  <si>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</si>
  <si>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</si>
  <si>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</si>
  <si>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</si>
  <si>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</si>
  <si>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</si>
  <si>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</si>
  <si>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</si>
  <si>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</si>
  <si>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</si>
  <si>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</si>
  <si>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</si>
  <si>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</si>
  <si>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</si>
  <si>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</si>
  <si>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</si>
  <si>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</si>
  <si>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</si>
  <si>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</si>
  <si>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</si>
  <si>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</si>
  <si>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</si>
  <si>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</si>
  <si>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</si>
  <si>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</si>
  <si>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</si>
  <si>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</si>
  <si>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</si>
  <si>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</si>
  <si>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</si>
  <si>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</si>
  <si>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</si>
  <si>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</si>
  <si>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</si>
  <si>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</si>
  <si>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</si>
  <si>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</si>
  <si>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</si>
  <si>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</si>
  <si>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</si>
  <si>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</si>
  <si>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</si>
  <si>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</si>
  <si>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</si>
  <si>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</si>
  <si>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</si>
  <si>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</si>
  <si>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</si>
  <si>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</si>
  <si>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</si>
  <si>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</si>
  <si>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</si>
  <si>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</si>
  <si>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</si>
  <si>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</si>
  <si>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</si>
  <si>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</si>
  <si>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</si>
  <si>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</si>
  <si>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</si>
  <si>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</si>
  <si>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</si>
  <si>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</si>
  <si>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</si>
  <si>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</si>
  <si>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</si>
  <si>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</si>
  <si>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</si>
  <si>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</si>
  <si>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</si>
  <si>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</si>
  <si>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</si>
  <si>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</si>
  <si>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</si>
  <si>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</si>
  <si>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</si>
  <si>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</si>
  <si>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</si>
  <si>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</si>
  <si>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</si>
  <si>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</si>
  <si>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</si>
  <si>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</si>
  <si>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</si>
  <si>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</si>
  <si>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</si>
  <si>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</si>
  <si>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</si>
  <si>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</si>
  <si>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</si>
  <si>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</si>
  <si>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</si>
  <si>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</si>
  <si>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</si>
  <si>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</si>
  <si>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</si>
  <si>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</si>
  <si>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</si>
  <si>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</si>
  <si>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</si>
  <si>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</si>
  <si>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</si>
  <si>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</si>
  <si>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</si>
  <si>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</si>
  <si>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</si>
  <si>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</si>
  <si>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</si>
  <si>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</si>
  <si>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</si>
  <si>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</si>
  <si>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</si>
  <si>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</si>
  <si>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</si>
  <si>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</si>
  <si>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</si>
  <si>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</si>
  <si>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</si>
  <si>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</si>
  <si>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</si>
  <si>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</si>
  <si>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</si>
  <si>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</si>
  <si>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</si>
  <si>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</si>
  <si>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</si>
  <si>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</si>
  <si>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</si>
  <si>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</si>
  <si>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</si>
  <si>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</si>
  <si>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</si>
  <si>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</si>
  <si>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</si>
  <si>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</si>
  <si>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</si>
  <si>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</si>
  <si>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</si>
  <si>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</si>
  <si>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</si>
  <si>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</si>
  <si>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</si>
  <si>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</si>
  <si>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</si>
  <si>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</si>
  <si>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</si>
  <si>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</si>
  <si>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</si>
  <si>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</si>
  <si>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</si>
  <si>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</si>
  <si>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</si>
  <si>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</si>
  <si>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</si>
  <si>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</si>
  <si>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</si>
  <si>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</si>
  <si>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</si>
  <si>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</si>
  <si>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</si>
  <si>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</si>
  <si>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</si>
  <si>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</si>
  <si>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</si>
  <si>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</si>
  <si>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</si>
  <si>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</si>
  <si>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</si>
  <si>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</si>
  <si>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</si>
  <si>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</si>
  <si>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</si>
  <si>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</si>
  <si>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</si>
  <si>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</si>
  <si>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</si>
  <si>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</si>
  <si>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</si>
  <si>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</si>
  <si>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</si>
  <si>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</si>
  <si>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</si>
  <si>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</si>
  <si>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</si>
  <si>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</si>
  <si>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</si>
  <si>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</si>
  <si>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</si>
  <si>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</si>
  <si>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</si>
  <si>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</si>
  <si>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</si>
  <si>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</si>
  <si>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</si>
  <si>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</si>
  <si>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</si>
  <si>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</si>
  <si>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</si>
  <si>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</si>
  <si>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</si>
  <si>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</si>
  <si>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</si>
  <si>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</si>
  <si>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</si>
  <si>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</si>
  <si>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</si>
  <si>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</si>
  <si>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</si>
  <si>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</si>
  <si>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</si>
  <si>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</si>
  <si>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</si>
  <si>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</si>
  <si>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</si>
  <si>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</si>
  <si>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</si>
  <si>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</si>
  <si>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</si>
  <si>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</si>
  <si>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</si>
  <si>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</si>
  <si>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</si>
  <si>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</si>
  <si>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</si>
  <si>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</si>
  <si>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</si>
  <si>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</si>
  <si>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</si>
  <si>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</si>
  <si>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</si>
  <si>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</si>
  <si>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</si>
  <si>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</si>
  <si>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</si>
  <si>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</si>
  <si>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</si>
  <si>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</si>
  <si>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</si>
  <si>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</si>
  <si>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</si>
  <si>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</si>
  <si>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</si>
  <si>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</si>
  <si>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</si>
  <si>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</si>
  <si>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</si>
  <si>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</si>
  <si>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</si>
  <si>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</si>
  <si>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</si>
  <si>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</si>
  <si>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</si>
  <si>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</si>
  <si>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</si>
  <si>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</si>
  <si>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</si>
  <si>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</si>
  <si>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</si>
  <si>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</si>
  <si>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</si>
  <si>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</si>
  <si>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</si>
  <si>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</si>
  <si>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</si>
  <si>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</si>
  <si>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</si>
  <si>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</si>
  <si>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</si>
  <si>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</si>
  <si>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</si>
  <si>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</si>
  <si>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</si>
  <si>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</si>
  <si>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</si>
  <si>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</si>
  <si>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</si>
  <si>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</si>
  <si>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</si>
  <si>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</si>
  <si>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</si>
  <si>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</si>
  <si>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</si>
  <si>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</si>
  <si>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</si>
  <si>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</si>
  <si>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</si>
  <si>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</si>
  <si>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</si>
  <si>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</si>
  <si>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</si>
  <si>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</si>
  <si>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</si>
  <si>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</si>
  <si>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</si>
  <si>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</si>
  <si>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</si>
  <si>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</si>
  <si>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</si>
  <si>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</si>
  <si>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</si>
  <si>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</si>
  <si>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</si>
  <si>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</si>
  <si>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</si>
  <si>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</si>
  <si>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</si>
  <si>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</si>
  <si>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</si>
  <si>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</si>
  <si>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</si>
  <si>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</si>
  <si>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</si>
  <si>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</si>
  <si>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</si>
  <si>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</si>
  <si>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</si>
  <si>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</si>
  <si>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</si>
  <si>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</si>
  <si>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</si>
  <si>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</si>
  <si>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</si>
  <si>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</si>
  <si>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</si>
  <si>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</si>
  <si>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</si>
  <si>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</si>
  <si>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</si>
  <si>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</si>
  <si>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</si>
  <si>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</si>
  <si>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</si>
  <si>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</si>
  <si>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</si>
  <si>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</si>
  <si>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</si>
  <si>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</si>
  <si>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</si>
  <si>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</si>
  <si>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</si>
  <si>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</si>
  <si>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</si>
  <si>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</si>
  <si>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</si>
  <si>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</si>
  <si>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</si>
  <si>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</si>
  <si>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</si>
  <si>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</si>
  <si>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</si>
  <si>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</si>
  <si>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</si>
  <si>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</si>
  <si>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</si>
  <si>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</si>
  <si>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</si>
  <si>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</si>
  <si>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</si>
  <si>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</si>
  <si>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</si>
  <si>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</si>
  <si>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</si>
  <si>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</si>
  <si>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</si>
  <si>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</si>
  <si>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</si>
  <si>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</si>
  <si>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</si>
  <si>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</si>
  <si>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</si>
  <si>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</si>
  <si>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</si>
  <si>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</si>
  <si>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</si>
  <si>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</si>
  <si>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</si>
  <si>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</si>
  <si>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</si>
  <si>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</si>
  <si>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</si>
  <si>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</si>
  <si>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</si>
  <si>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</si>
  <si>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</si>
  <si>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</si>
  <si>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</si>
  <si>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</si>
  <si>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</si>
  <si>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</si>
  <si>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</si>
  <si>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</si>
  <si>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</si>
  <si>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</si>
  <si>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</si>
  <si>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</si>
  <si>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</si>
  <si>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</si>
  <si>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</si>
  <si>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</si>
  <si>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</si>
  <si>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</si>
  <si>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</si>
  <si>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</si>
  <si>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</si>
  <si>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</si>
  <si>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</si>
  <si>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</si>
  <si>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</si>
  <si>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</si>
  <si>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</si>
  <si>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</si>
  <si>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</si>
  <si>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</si>
  <si>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</si>
  <si>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</si>
  <si>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</si>
  <si>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</si>
  <si>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</si>
  <si>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</si>
  <si>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</si>
  <si>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</si>
  <si>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</si>
  <si>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</si>
  <si>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</si>
  <si>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</si>
  <si>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</si>
  <si>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</si>
  <si>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</si>
  <si>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</si>
  <si>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</si>
  <si>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</si>
  <si>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</si>
  <si>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</si>
  <si>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</si>
  <si>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</si>
  <si>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</si>
  <si>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</si>
  <si>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</si>
  <si>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</si>
  <si>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</si>
  <si>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</si>
  <si>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</si>
  <si>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</si>
  <si>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</si>
  <si>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</si>
  <si>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</si>
  <si>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</si>
  <si>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</si>
  <si>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</si>
  <si>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</si>
  <si>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</si>
  <si>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</si>
  <si>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</si>
  <si>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</si>
  <si>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</si>
  <si>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</si>
  <si>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</si>
  <si>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</si>
  <si>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</si>
  <si>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</si>
  <si>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</si>
  <si>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</si>
  <si>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</si>
  <si>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</si>
  <si>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</si>
  <si>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</si>
  <si>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</si>
  <si>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</si>
  <si>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</si>
  <si>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</si>
  <si>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</si>
  <si>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</si>
  <si>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</si>
  <si>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</si>
  <si>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</si>
  <si>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</si>
  <si>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</si>
  <si>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</si>
  <si>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</si>
  <si>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</si>
  <si>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</si>
  <si>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</si>
  <si>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</si>
  <si>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</si>
  <si>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</si>
  <si>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</si>
  <si>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</si>
  <si>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</si>
  <si>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</si>
  <si>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</si>
  <si>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</si>
  <si>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</si>
  <si>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</si>
  <si>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</si>
  <si>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</si>
  <si>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</si>
  <si>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</si>
  <si>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</si>
  <si>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</si>
  <si>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</si>
  <si>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</si>
  <si>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</si>
  <si>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</si>
  <si>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</si>
  <si>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</si>
  <si>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</si>
  <si>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</si>
  <si>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</si>
  <si>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</si>
  <si>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</si>
  <si>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</si>
  <si>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</si>
  <si>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</si>
  <si>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</si>
  <si>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</si>
  <si>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</si>
  <si>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</si>
  <si>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</si>
  <si>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</si>
  <si>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</si>
  <si>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</si>
  <si>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</si>
  <si>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</si>
  <si>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</si>
  <si>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</si>
  <si>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</si>
  <si>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</si>
  <si>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</si>
  <si>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</si>
  <si>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</si>
  <si>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</si>
  <si>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</si>
  <si>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</si>
  <si>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</si>
  <si>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</si>
  <si>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</si>
  <si>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</si>
  <si>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</si>
  <si>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</si>
  <si>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</si>
  <si>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</si>
  <si>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</si>
  <si>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</si>
  <si>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</si>
  <si>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</si>
  <si>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</si>
  <si>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</si>
  <si>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</si>
  <si>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</si>
  <si>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</si>
  <si>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</si>
  <si>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</si>
  <si>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</si>
  <si>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</si>
  <si>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</si>
  <si>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</si>
  <si>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</si>
  <si>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</si>
  <si>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</si>
  <si>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</si>
  <si>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</si>
  <si>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</si>
  <si>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</si>
  <si>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</si>
  <si>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</si>
  <si>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</si>
  <si>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</si>
  <si>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</si>
  <si>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</si>
  <si>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</si>
  <si>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</si>
  <si>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</si>
  <si>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</si>
  <si>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</si>
  <si>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</si>
  <si>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</si>
  <si>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</si>
  <si>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</si>
  <si>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</si>
  <si>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</si>
  <si>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</si>
  <si>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</si>
  <si>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</si>
  <si>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</si>
  <si>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</si>
  <si>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</si>
  <si>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</si>
  <si>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</si>
  <si>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</si>
  <si>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</si>
  <si>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</si>
  <si>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</si>
  <si>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</si>
  <si>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</si>
  <si>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</si>
  <si>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</si>
  <si>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</si>
  <si>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</si>
  <si>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</si>
  <si>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</si>
  <si>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</si>
  <si>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</si>
  <si>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</si>
  <si>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</si>
  <si>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</si>
  <si>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</si>
  <si>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</si>
  <si>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</si>
  <si>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</si>
  <si>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</si>
  <si>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</si>
  <si>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</si>
  <si>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</si>
  <si>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</si>
  <si>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</si>
  <si>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</si>
  <si>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</si>
  <si>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</si>
  <si>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</si>
  <si>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</si>
  <si>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</si>
  <si>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</si>
  <si>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</si>
  <si>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</si>
  <si>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</si>
  <si>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</si>
  <si>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</si>
  <si>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</si>
  <si>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</si>
  <si>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</si>
  <si>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</si>
  <si>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</si>
  <si>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</si>
  <si>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</si>
  <si>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</si>
  <si>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</si>
  <si>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</si>
  <si>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</si>
  <si>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</si>
  <si>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</si>
  <si>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</si>
  <si>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</si>
  <si>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</si>
  <si>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</si>
  <si>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</si>
  <si>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</si>
  <si>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</si>
  <si>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</si>
  <si>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</si>
  <si>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</si>
  <si>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</si>
  <si>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</si>
  <si>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</si>
  <si>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</si>
  <si>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</si>
  <si>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</si>
  <si>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</si>
  <si>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</si>
  <si>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</si>
  <si>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</si>
  <si>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</si>
  <si>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</si>
  <si>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</si>
  <si>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</si>
  <si>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</si>
  <si>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</si>
  <si>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</si>
  <si>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</si>
  <si>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</si>
  <si>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</si>
  <si>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</si>
  <si>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</si>
  <si>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</si>
  <si>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</si>
  <si>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</si>
  <si>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</si>
  <si>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</si>
  <si>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</si>
  <si>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</si>
  <si>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</si>
  <si>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</si>
  <si>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</si>
  <si>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</si>
  <si>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</si>
  <si>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</si>
  <si>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</si>
  <si>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</si>
  <si>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</si>
  <si>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</si>
  <si>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</si>
  <si>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</si>
  <si>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</si>
  <si>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</si>
  <si>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</si>
  <si>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</si>
  <si>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</si>
  <si>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</si>
  <si>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</si>
  <si>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</si>
  <si>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</si>
  <si>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</si>
  <si>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</si>
  <si>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</si>
  <si>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</si>
  <si>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</si>
  <si>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</si>
  <si>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</si>
  <si>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</si>
  <si>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</si>
  <si>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</si>
  <si>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</si>
  <si>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</si>
  <si>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</si>
  <si>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</si>
  <si>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</si>
  <si>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</si>
  <si>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</si>
  <si>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</si>
  <si>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</si>
  <si>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</si>
  <si>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</si>
  <si>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</si>
  <si>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</si>
  <si>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</si>
  <si>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</si>
  <si>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</si>
  <si>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</si>
  <si>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</si>
  <si>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</si>
  <si>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</si>
  <si>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</si>
  <si>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</si>
  <si>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</si>
  <si>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</si>
  <si>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</si>
  <si>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</si>
  <si>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</si>
  <si>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</si>
  <si>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</si>
  <si>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</si>
  <si>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</si>
  <si>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</si>
  <si>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</si>
  <si>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</si>
  <si>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</si>
  <si>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</si>
  <si>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</si>
  <si>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</si>
  <si>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</si>
  <si>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</si>
  <si>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</si>
  <si>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</si>
  <si>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</si>
  <si>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</si>
  <si>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</si>
  <si>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</si>
  <si>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</si>
  <si>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</si>
  <si>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</si>
  <si>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</si>
  <si>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</si>
  <si>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</si>
  <si>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</si>
  <si>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</si>
  <si>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</si>
  <si>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</si>
  <si>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</si>
  <si>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</si>
  <si>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</si>
  <si>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</si>
  <si>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</si>
  <si>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</si>
  <si>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</si>
  <si>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</si>
  <si>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</si>
  <si>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</si>
  <si>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</si>
  <si>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</si>
  <si>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</si>
  <si>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</si>
  <si>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</si>
  <si>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</si>
  <si>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</si>
  <si>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</si>
  <si>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</si>
  <si>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</si>
  <si>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</si>
  <si>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</si>
  <si>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</si>
  <si>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</si>
  <si>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</si>
  <si>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</si>
  <si>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</si>
  <si>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</si>
  <si>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</si>
  <si>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</si>
  <si>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</si>
  <si>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</si>
  <si>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</si>
  <si>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</si>
  <si>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</si>
  <si>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</si>
  <si>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</si>
  <si>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</si>
  <si>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</si>
  <si>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</si>
  <si>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</si>
  <si>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</si>
  <si>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</si>
  <si>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</si>
  <si>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</si>
  <si>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</si>
  <si>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</si>
  <si>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</si>
  <si>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</si>
  <si>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</si>
  <si>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</si>
  <si>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</si>
  <si>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</si>
  <si>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</si>
  <si>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</si>
  <si>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</si>
  <si>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</si>
  <si>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</si>
  <si>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</si>
  <si>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</si>
  <si>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</si>
  <si>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</si>
  <si>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</si>
  <si>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</si>
  <si>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</si>
  <si>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</si>
  <si>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</si>
  <si>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</si>
  <si>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</si>
  <si>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</si>
  <si>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</si>
  <si>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</si>
  <si>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</si>
  <si>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</si>
  <si>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</si>
  <si>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</si>
  <si>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</si>
  <si>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</si>
  <si>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</si>
  <si>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</si>
  <si>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</si>
  <si>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</si>
  <si>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</si>
  <si>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</si>
  <si>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</si>
  <si>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</si>
  <si>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</si>
  <si>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</si>
  <si>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</si>
  <si>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</si>
  <si>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</si>
  <si>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</si>
  <si>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</si>
  <si>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</si>
  <si>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</si>
  <si>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</si>
  <si>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</si>
  <si>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</si>
  <si>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</si>
  <si>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</si>
  <si>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</si>
  <si>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</si>
  <si>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</si>
  <si>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</si>
  <si>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</si>
  <si>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</si>
  <si>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</si>
  <si>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</si>
  <si>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</si>
  <si>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</si>
  <si>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</si>
  <si>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</si>
  <si>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</si>
  <si>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</si>
  <si>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</si>
  <si>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</si>
  <si>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</si>
  <si>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</si>
  <si>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</si>
  <si>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</si>
  <si>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</si>
  <si>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</si>
  <si>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</si>
  <si>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</si>
  <si>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</si>
  <si>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</si>
  <si>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</si>
  <si>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</si>
  <si>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</si>
  <si>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</si>
  <si>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</si>
  <si>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</si>
  <si>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</si>
  <si>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</si>
  <si>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</si>
  <si>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</si>
  <si>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</si>
  <si>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</si>
  <si>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</si>
  <si>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</si>
  <si>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</si>
  <si>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</si>
  <si>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</si>
  <si>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</si>
  <si>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</si>
  <si>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</si>
  <si>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</si>
  <si>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</si>
  <si>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</si>
  <si>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</si>
  <si>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</si>
  <si>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</si>
  <si>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</si>
  <si>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</si>
  <si>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</si>
  <si>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</si>
  <si>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</si>
  <si>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</si>
  <si>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</si>
  <si>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</si>
  <si>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</si>
  <si>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</si>
  <si>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</si>
  <si>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</si>
  <si>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</si>
  <si>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</si>
  <si>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</si>
  <si>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</si>
  <si>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</si>
  <si>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</si>
  <si>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</si>
  <si>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</si>
  <si>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</si>
  <si>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</si>
  <si>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</si>
  <si>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</si>
  <si>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</si>
  <si>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</si>
  <si>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</si>
  <si>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</si>
  <si>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</si>
  <si>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</si>
  <si>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</si>
  <si>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</si>
  <si>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</si>
  <si>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</si>
  <si>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</si>
  <si>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</si>
  <si>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</si>
  <si>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</si>
  <si>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</si>
  <si>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</si>
  <si>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</si>
  <si>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</si>
  <si>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</si>
  <si>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</si>
  <si>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</si>
  <si>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</si>
  <si>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</si>
  <si>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</si>
  <si>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</si>
  <si>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</si>
  <si>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</si>
  <si>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</si>
  <si>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</si>
  <si>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</si>
  <si>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</si>
  <si>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</si>
  <si>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</si>
  <si>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</si>
  <si>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</si>
  <si>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</si>
  <si>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</si>
  <si>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</si>
  <si>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</si>
  <si>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</si>
  <si>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</si>
  <si>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</si>
  <si>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</si>
  <si>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</si>
  <si>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</si>
  <si>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</si>
  <si>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</si>
  <si>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</si>
  <si>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</si>
  <si>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</si>
  <si>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</si>
  <si>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</si>
  <si>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</si>
  <si>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</si>
  <si>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</si>
  <si>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</si>
  <si>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</si>
  <si>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</si>
  <si>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</si>
  <si>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</si>
  <si>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</si>
  <si>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</si>
  <si>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</si>
  <si>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</si>
  <si>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</si>
  <si>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</si>
  <si>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</si>
  <si>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</si>
  <si>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</si>
  <si>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</si>
  <si>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</si>
  <si>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</si>
  <si>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</si>
  <si>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</si>
  <si>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</si>
  <si>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</si>
  <si>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</si>
  <si>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</si>
  <si>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</si>
  <si>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</si>
  <si>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</si>
  <si>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</si>
  <si>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</si>
  <si>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</si>
  <si>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</si>
  <si>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</si>
  <si>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</si>
  <si>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</si>
  <si>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</si>
  <si>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</si>
  <si>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</si>
  <si>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</si>
  <si>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</si>
  <si>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</si>
  <si>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</si>
  <si>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</si>
  <si>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</si>
  <si>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</si>
  <si>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</si>
  <si>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</si>
  <si>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</si>
  <si>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</si>
  <si>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</si>
  <si>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</si>
  <si>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</si>
  <si>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</si>
  <si>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</si>
  <si>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</si>
  <si>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</si>
  <si>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</si>
  <si>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</si>
  <si>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</si>
  <si>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</si>
  <si>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</si>
  <si>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</si>
  <si>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</si>
  <si>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</si>
  <si>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</si>
  <si>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</si>
  <si>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</si>
  <si>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</si>
  <si>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</si>
  <si>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</si>
  <si>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</si>
  <si>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</si>
  <si>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</si>
  <si>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</si>
  <si>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</si>
  <si>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</si>
  <si>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</si>
  <si>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</si>
  <si>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</si>
  <si>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</si>
  <si>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</si>
  <si>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</si>
  <si>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</si>
  <si>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</si>
  <si>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</si>
  <si>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</si>
  <si>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</si>
  <si>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</si>
  <si>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</si>
  <si>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</si>
  <si>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</si>
  <si>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</si>
  <si>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</si>
  <si>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</si>
  <si>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</si>
  <si>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</si>
  <si>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</si>
  <si>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</si>
  <si>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</si>
  <si>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</si>
  <si>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</si>
  <si>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</si>
  <si>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</si>
  <si>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</si>
  <si>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</si>
  <si>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</si>
  <si>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</si>
  <si>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</si>
  <si>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</si>
  <si>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</si>
  <si>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</si>
  <si>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</si>
  <si>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</si>
  <si>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</si>
  <si>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</si>
  <si>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</si>
  <si>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</si>
  <si>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</si>
  <si>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</si>
  <si>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</si>
  <si>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</si>
  <si>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</si>
  <si>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</si>
  <si>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</si>
  <si>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</si>
  <si>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</si>
  <si>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</si>
  <si>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</si>
  <si>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</si>
  <si>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</si>
  <si>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</si>
  <si>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</si>
  <si>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</si>
  <si>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</si>
  <si>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</si>
  <si>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</si>
  <si>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</si>
  <si>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</si>
  <si>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</si>
  <si>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</si>
  <si>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</si>
  <si>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</si>
  <si>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</si>
  <si>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</si>
  <si>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</si>
  <si>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</si>
  <si>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</si>
  <si>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</si>
  <si>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</si>
  <si>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</si>
  <si>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</si>
  <si>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</si>
  <si>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</si>
  <si>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</si>
  <si>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</si>
  <si>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</si>
  <si>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</si>
  <si>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</si>
  <si>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</si>
  <si>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</si>
  <si>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</si>
  <si>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</si>
  <si>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</si>
  <si>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</si>
  <si>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</si>
  <si>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</si>
  <si>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</si>
  <si>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</si>
  <si>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</si>
  <si>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</si>
  <si>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</si>
  <si>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</si>
  <si>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</si>
  <si>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</si>
  <si>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</si>
  <si>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</si>
  <si>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</si>
  <si>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</si>
  <si>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</si>
  <si>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</si>
  <si>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</si>
  <si>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</si>
  <si>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</si>
  <si>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</si>
  <si>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</si>
  <si>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</si>
  <si>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</si>
  <si>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</si>
  <si>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</si>
  <si>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</si>
  <si>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</si>
  <si>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</si>
  <si>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</si>
  <si>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</si>
  <si>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</si>
  <si>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</si>
  <si>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</si>
  <si>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</si>
  <si>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</si>
  <si>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</si>
  <si>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</si>
  <si>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</si>
  <si>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</si>
  <si>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</si>
  <si>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</si>
  <si>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</si>
  <si>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</si>
  <si>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</si>
  <si>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</si>
  <si>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</si>
  <si>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</si>
  <si>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</si>
  <si>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</si>
  <si>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</si>
  <si>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</si>
  <si>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</si>
  <si>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</si>
  <si>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</si>
  <si>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</si>
  <si>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</si>
  <si>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</si>
  <si>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</si>
  <si>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</si>
  <si>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</si>
  <si>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</si>
  <si>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</si>
  <si>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</si>
  <si>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</si>
  <si>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</si>
  <si>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</si>
  <si>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</si>
  <si>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</si>
  <si>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</si>
  <si>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</si>
  <si>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</si>
  <si>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</si>
  <si>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</si>
  <si>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</si>
  <si>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</si>
  <si>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</si>
  <si>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</si>
  <si>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</si>
  <si>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</si>
  <si>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</si>
  <si>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</si>
  <si>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</si>
  <si>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</si>
  <si>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</si>
  <si>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</si>
  <si>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</si>
  <si>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</si>
  <si>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</si>
  <si>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</si>
  <si>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</si>
  <si>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</si>
  <si>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</si>
  <si>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</si>
  <si>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</si>
  <si>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</si>
  <si>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</si>
  <si>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</si>
  <si>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</si>
  <si>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</si>
  <si>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</si>
  <si>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</si>
  <si>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</si>
  <si>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</si>
  <si>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</si>
  <si>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</si>
  <si>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</si>
  <si>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</si>
  <si>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</si>
  <si>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</si>
  <si>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</si>
  <si>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</si>
  <si>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</si>
  <si>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</si>
  <si>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</si>
  <si>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</si>
  <si>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</si>
  <si>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</si>
  <si>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</si>
  <si>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</si>
  <si>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</si>
  <si>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</si>
  <si>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</si>
  <si>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</si>
  <si>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</si>
  <si>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</si>
  <si>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</si>
  <si>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</si>
  <si>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</si>
  <si>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</si>
  <si>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</si>
  <si>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</si>
  <si>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</si>
  <si>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</si>
  <si>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</si>
  <si>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</si>
  <si>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</si>
  <si>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</si>
  <si>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</si>
  <si>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</si>
  <si>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</si>
  <si>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</si>
  <si>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</si>
  <si>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</si>
  <si>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</si>
  <si>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</si>
  <si>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</si>
  <si>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</si>
  <si>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</si>
  <si>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</si>
  <si>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</si>
  <si>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</si>
  <si>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</si>
  <si>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</si>
  <si>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</si>
  <si>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</si>
  <si>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</si>
  <si>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</si>
  <si>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</si>
  <si>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</si>
  <si>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</si>
  <si>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</si>
  <si>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</si>
  <si>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</si>
  <si>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</si>
  <si>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</si>
  <si>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</si>
  <si>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</si>
  <si>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</si>
  <si>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</si>
  <si>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</si>
  <si>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</si>
  <si>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</si>
  <si>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</si>
  <si>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</si>
  <si>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</si>
  <si>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</si>
  <si>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</si>
  <si>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</si>
  <si>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</si>
  <si>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</si>
  <si>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</si>
  <si>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</si>
  <si>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</si>
  <si>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</si>
  <si>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</si>
  <si>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</si>
  <si>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</si>
  <si>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</si>
  <si>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</si>
  <si>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</si>
  <si>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</si>
  <si>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</si>
  <si>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</si>
  <si>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</si>
  <si>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</si>
  <si>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</si>
  <si>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</si>
  <si>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</si>
  <si>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</si>
  <si>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</si>
  <si>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</si>
  <si>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</si>
  <si>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</si>
  <si>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</si>
  <si>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</si>
  <si>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</si>
  <si>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</si>
  <si>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</si>
  <si>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</si>
  <si>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</si>
  <si>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</si>
  <si>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</si>
  <si>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</si>
  <si>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</si>
  <si>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</si>
  <si>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</si>
  <si>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</si>
  <si>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</si>
  <si>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</si>
  <si>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</si>
  <si>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</si>
  <si>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</si>
  <si>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</si>
  <si>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</si>
  <si>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</si>
  <si>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</si>
  <si>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</si>
  <si>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</si>
  <si>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</si>
  <si>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</si>
  <si>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</si>
  <si>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</si>
  <si>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</si>
  <si>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</si>
  <si>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</si>
  <si>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</si>
  <si>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</si>
  <si>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</si>
  <si>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</si>
  <si>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</si>
  <si>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</si>
  <si>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</si>
  <si>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</si>
  <si>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</si>
  <si>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</si>
  <si>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</si>
  <si>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</si>
  <si>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</si>
  <si>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</si>
  <si>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</si>
  <si>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</si>
  <si>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</si>
  <si>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</si>
  <si>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</si>
  <si>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</si>
  <si>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</si>
  <si>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</si>
  <si>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</si>
  <si>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</si>
  <si>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</si>
  <si>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</si>
  <si>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</si>
  <si>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</si>
  <si>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</si>
  <si>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</si>
  <si>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</si>
  <si>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</si>
  <si>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</si>
  <si>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</si>
  <si>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</si>
  <si>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</si>
  <si>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</si>
  <si>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</si>
  <si>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</si>
  <si>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</si>
  <si>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</si>
  <si>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</si>
  <si>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</si>
  <si>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</si>
  <si>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</si>
  <si>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</si>
  <si>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</si>
  <si>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</si>
  <si>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</si>
  <si>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</si>
  <si>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</si>
  <si>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</si>
  <si>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</si>
  <si>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</si>
  <si>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</si>
  <si>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</si>
  <si>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</si>
  <si>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</si>
  <si>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</si>
  <si>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</si>
  <si>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</si>
  <si>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</si>
  <si>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</si>
  <si>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</si>
  <si>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</si>
  <si>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</si>
  <si>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</si>
  <si>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</si>
  <si>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</si>
  <si>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</si>
  <si>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</si>
  <si>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</si>
  <si>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</si>
  <si>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</si>
  <si>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</si>
  <si>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</si>
  <si>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</si>
  <si>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</si>
  <si>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</si>
  <si>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</si>
  <si>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</si>
  <si>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</si>
  <si>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</si>
  <si>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</si>
  <si>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</si>
  <si>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</si>
  <si>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</si>
  <si>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</si>
  <si>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</si>
  <si>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</si>
  <si>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</si>
  <si>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</si>
  <si>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</si>
  <si>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</si>
  <si>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</si>
  <si>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</si>
  <si>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</si>
  <si>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</si>
  <si>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</si>
  <si>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</si>
  <si>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</si>
  <si>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</si>
  <si>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</si>
  <si>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</si>
  <si>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</si>
  <si>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</si>
  <si>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</si>
  <si>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</si>
  <si>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</si>
  <si>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</si>
  <si>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</si>
  <si>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</si>
  <si>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</si>
  <si>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</si>
  <si>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</si>
  <si>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</si>
  <si>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</si>
  <si>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</si>
  <si>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</si>
  <si>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</si>
  <si>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</si>
  <si>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</si>
  <si>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</si>
  <si>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</si>
  <si>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</si>
  <si>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</si>
  <si>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</si>
  <si>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</si>
  <si>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</si>
  <si>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</si>
  <si>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</si>
  <si>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</si>
  <si>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</si>
  <si>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</si>
  <si>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</si>
  <si>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</si>
  <si>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</si>
  <si>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</si>
  <si>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</si>
  <si>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</si>
  <si>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</si>
  <si>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</si>
  <si>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</si>
  <si>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</si>
  <si>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</si>
  <si>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</si>
  <si>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</si>
  <si>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</si>
  <si>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</si>
  <si>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</si>
  <si>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</si>
  <si>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</si>
  <si>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</si>
  <si>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</si>
  <si>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</si>
  <si>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</si>
  <si>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</si>
  <si>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</si>
  <si>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</si>
  <si>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</si>
  <si>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</si>
  <si>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</si>
  <si>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</si>
  <si>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</si>
  <si>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</si>
  <si>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</si>
  <si>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</si>
  <si>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</si>
  <si>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</si>
  <si>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</si>
  <si>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</si>
  <si>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</si>
  <si>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</si>
  <si>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</si>
  <si>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</si>
  <si>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</si>
  <si>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</si>
  <si>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</si>
  <si>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</si>
  <si>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</si>
  <si>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</si>
  <si>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</si>
  <si>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</si>
  <si>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</si>
  <si>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</si>
  <si>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</si>
  <si>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</si>
  <si>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</si>
  <si>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</si>
  <si>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</si>
  <si>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</si>
  <si>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</si>
  <si>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</si>
  <si>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</si>
  <si>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</si>
  <si>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</si>
  <si>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</si>
  <si>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</si>
  <si>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</si>
  <si>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</si>
  <si>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</si>
  <si>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</si>
  <si>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</si>
  <si>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</si>
  <si>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</si>
  <si>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</si>
  <si>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</si>
  <si>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</si>
  <si>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</si>
  <si>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</si>
  <si>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</si>
  <si>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</si>
  <si>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</si>
  <si>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</si>
  <si>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</si>
  <si>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</si>
  <si>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</si>
  <si>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</si>
  <si>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</si>
  <si>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</si>
  <si>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</si>
  <si>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</si>
  <si>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</si>
  <si>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</si>
  <si>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</si>
  <si>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</si>
  <si>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</si>
  <si>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</si>
  <si>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</si>
  <si>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</si>
  <si>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</si>
  <si>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</si>
  <si>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</si>
  <si>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</si>
  <si>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</si>
  <si>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</si>
  <si>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</si>
  <si>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</si>
  <si>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</si>
  <si>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</si>
  <si>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</si>
  <si>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</si>
  <si>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</si>
  <si>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</si>
  <si>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</si>
  <si>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</si>
  <si>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</si>
  <si>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</si>
  <si>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</si>
  <si>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</si>
  <si>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</si>
  <si>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</si>
  <si>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</si>
  <si>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</si>
  <si>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</si>
  <si>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</si>
  <si>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</si>
  <si>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</si>
  <si>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</si>
  <si>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</si>
  <si>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</si>
  <si>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</si>
  <si>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</si>
  <si>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</si>
  <si>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</si>
  <si>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</si>
  <si>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</si>
  <si>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</si>
  <si>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</si>
  <si>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</si>
  <si>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</si>
  <si>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</si>
  <si>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</si>
  <si>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</si>
  <si>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</si>
  <si>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</si>
  <si>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</si>
  <si>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</si>
  <si>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</si>
  <si>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</si>
  <si>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</si>
  <si>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</si>
  <si>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</si>
  <si>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</si>
  <si>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</si>
  <si>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</si>
  <si>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</si>
  <si>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</si>
  <si>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</si>
  <si>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</si>
  <si>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</si>
  <si>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</si>
  <si>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</si>
  <si>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</si>
  <si>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</si>
  <si>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</si>
  <si>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</si>
  <si>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</si>
  <si>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</si>
  <si>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</si>
  <si>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</si>
  <si>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</si>
  <si>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</si>
  <si>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</si>
  <si>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</si>
  <si>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</si>
  <si>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</si>
  <si>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</si>
  <si>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</si>
  <si>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</si>
  <si>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</si>
  <si>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</si>
  <si>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</si>
  <si>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</si>
  <si>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</si>
  <si>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</si>
  <si>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</si>
  <si>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</si>
  <si>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</si>
  <si>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</si>
  <si>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</si>
  <si>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</si>
  <si>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</si>
  <si>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</si>
  <si>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</si>
  <si>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</si>
  <si>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</si>
  <si>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</si>
  <si>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</si>
  <si>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</si>
  <si>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</si>
  <si>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</si>
  <si>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</si>
  <si>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</si>
  <si>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</si>
  <si>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</si>
  <si>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</si>
  <si>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</si>
  <si>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</si>
  <si>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</si>
  <si>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</si>
  <si>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</si>
  <si>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</si>
  <si>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</si>
  <si>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</si>
  <si>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</si>
  <si>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</si>
  <si>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</si>
  <si>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</si>
  <si>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</si>
  <si>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</si>
  <si>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</si>
  <si>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</si>
  <si>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</si>
  <si>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</si>
  <si>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</si>
  <si>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</si>
  <si>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</si>
  <si>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</si>
  <si>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</si>
  <si>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</si>
  <si>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</si>
  <si>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</si>
  <si>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</si>
  <si>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</si>
  <si>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</si>
  <si>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</si>
  <si>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</si>
  <si>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</si>
  <si>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</si>
  <si>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</si>
  <si>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</si>
  <si>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</si>
  <si>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</si>
  <si>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</si>
  <si>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</si>
  <si>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</si>
  <si>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</si>
  <si>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</si>
  <si>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</si>
  <si>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</si>
  <si>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</si>
  <si>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</si>
  <si>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</si>
  <si>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</si>
  <si>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</si>
  <si>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</si>
  <si>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</si>
  <si>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</si>
  <si>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</si>
  <si>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</si>
  <si>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</si>
  <si>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</si>
  <si>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</si>
  <si>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</si>
  <si>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</si>
  <si>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</si>
  <si>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</si>
  <si>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</si>
  <si>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</si>
  <si>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</si>
  <si>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</si>
  <si>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</si>
  <si>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</si>
  <si>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</si>
  <si>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</si>
  <si>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</si>
  <si>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</si>
  <si>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</si>
  <si>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</si>
  <si>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</si>
  <si>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</si>
  <si>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</si>
  <si>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</si>
  <si>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</si>
  <si>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</si>
  <si>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</si>
  <si>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</si>
  <si>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</si>
  <si>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</si>
  <si>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</si>
  <si>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</si>
  <si>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</si>
  <si>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</si>
  <si>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</si>
  <si>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</si>
  <si>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</si>
  <si>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</si>
  <si>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</si>
  <si>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</si>
  <si>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</si>
  <si>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</si>
  <si>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</si>
  <si>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</si>
  <si>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</si>
  <si>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</si>
  <si>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</si>
  <si>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</si>
  <si>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</si>
  <si>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</si>
  <si>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</si>
  <si>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</si>
  <si>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</si>
  <si>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</si>
  <si>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</si>
  <si>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</si>
  <si>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</si>
  <si>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</si>
  <si>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</si>
  <si>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</si>
  <si>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</si>
  <si>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</si>
  <si>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</si>
  <si>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</si>
  <si>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</si>
  <si>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</si>
  <si>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</si>
  <si>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</si>
  <si>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</si>
  <si>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</si>
  <si>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</si>
  <si>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</si>
  <si>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</si>
  <si>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</si>
  <si>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</si>
  <si>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</si>
  <si>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</si>
  <si>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</si>
  <si>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</si>
  <si>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</si>
  <si>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</si>
  <si>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</si>
  <si>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</si>
  <si>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</si>
  <si>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</si>
  <si>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</si>
  <si>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</si>
  <si>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</si>
  <si>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</si>
  <si>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</si>
  <si>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</si>
  <si>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</si>
  <si>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</si>
  <si>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</si>
  <si>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</si>
  <si>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</si>
  <si>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</si>
  <si>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</si>
  <si>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</si>
  <si>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</si>
  <si>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</si>
  <si>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</si>
  <si>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</si>
  <si>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</si>
  <si>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</si>
  <si>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</si>
  <si>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</si>
  <si>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</si>
  <si>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</si>
  <si>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</si>
  <si>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</si>
  <si>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</si>
  <si>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</si>
  <si>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</si>
  <si>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</si>
  <si>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</si>
  <si>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</si>
  <si>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</si>
  <si>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</si>
  <si>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</si>
  <si>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</si>
  <si>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</si>
  <si>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</si>
  <si>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</si>
  <si>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</si>
  <si>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</si>
  <si>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</si>
  <si>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</si>
  <si>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</si>
  <si>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</si>
  <si>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</si>
  <si>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</si>
  <si>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</si>
  <si>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</si>
  <si>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</si>
  <si>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</si>
  <si>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</si>
  <si>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</si>
  <si>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</si>
  <si>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</si>
  <si>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</si>
  <si>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</si>
  <si>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</si>
  <si>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</si>
  <si>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</si>
  <si>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</si>
  <si>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</si>
  <si>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</si>
  <si>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</si>
  <si>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</si>
  <si>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</si>
  <si>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</si>
  <si>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</si>
  <si>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</si>
  <si>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</si>
  <si>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</si>
  <si>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</si>
  <si>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</si>
  <si>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</si>
  <si>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</si>
  <si>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</si>
  <si>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</si>
  <si>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</si>
  <si>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</si>
  <si>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</si>
  <si>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</si>
  <si>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</si>
  <si>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</si>
  <si>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</si>
  <si>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</si>
  <si>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</si>
  <si>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</si>
  <si>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</si>
  <si>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</si>
  <si>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</si>
  <si>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</si>
  <si>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</si>
  <si>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</si>
  <si>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</si>
  <si>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</si>
  <si>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</si>
  <si>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</si>
  <si>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</si>
  <si>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</si>
  <si>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</si>
  <si>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</si>
  <si>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</si>
  <si>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</si>
  <si>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</si>
  <si>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</si>
  <si>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</si>
  <si>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</si>
  <si>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</si>
  <si>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</si>
  <si>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</si>
  <si>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</si>
  <si>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</si>
  <si>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</si>
  <si>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</si>
  <si>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</si>
  <si>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</si>
  <si>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</si>
  <si>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</si>
  <si>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</si>
  <si>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</si>
  <si>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</si>
  <si>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</si>
  <si>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</si>
  <si>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</si>
  <si>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</si>
  <si>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</si>
  <si>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</si>
  <si>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</si>
  <si>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</si>
  <si>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</si>
  <si>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</si>
  <si>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</si>
  <si>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</si>
  <si>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</si>
  <si>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</si>
  <si>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</si>
  <si>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</si>
  <si>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</si>
  <si>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</si>
  <si>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</si>
  <si>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</si>
  <si>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</si>
  <si>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</si>
  <si>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</si>
  <si>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</si>
  <si>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</si>
  <si>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</si>
  <si>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</si>
  <si>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</si>
  <si>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</si>
  <si>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</si>
  <si>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</si>
  <si>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</si>
  <si>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</si>
  <si>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</si>
  <si>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</si>
  <si>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</si>
  <si>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</si>
  <si>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</si>
  <si>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</si>
  <si>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</si>
  <si>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</si>
  <si>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</si>
  <si>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</si>
  <si>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</si>
  <si>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</si>
  <si>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</si>
  <si>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</si>
  <si>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</si>
  <si>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</si>
  <si>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</si>
  <si>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</si>
  <si>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</si>
  <si>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</si>
  <si>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</si>
  <si>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</si>
  <si>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</si>
  <si>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</si>
  <si>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</si>
  <si>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</si>
  <si>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</si>
  <si>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</si>
  <si>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</si>
  <si>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</si>
  <si>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</si>
  <si>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</si>
  <si>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</si>
  <si>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</si>
  <si>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</si>
  <si>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</si>
  <si>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</si>
  <si>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</si>
  <si>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</si>
  <si>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</si>
  <si>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</si>
  <si>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</si>
  <si>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</si>
  <si>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</si>
  <si>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</si>
  <si>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</si>
  <si>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</si>
  <si>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</si>
  <si>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</si>
  <si>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</si>
  <si>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</si>
  <si>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</si>
  <si>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</si>
  <si>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</si>
  <si>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</si>
  <si>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</si>
  <si>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</si>
  <si>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</si>
  <si>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</si>
  <si>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</si>
  <si>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</si>
  <si>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</si>
  <si>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</si>
  <si>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</si>
  <si>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</si>
  <si>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</si>
  <si>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</si>
  <si>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</si>
  <si>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</si>
  <si>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</si>
  <si>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</si>
  <si>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</si>
  <si>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</si>
  <si>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</si>
  <si>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</si>
  <si>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</si>
  <si>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</si>
  <si>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</si>
  <si>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</si>
  <si>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</si>
  <si>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</si>
  <si>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</si>
  <si>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</si>
  <si>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</si>
  <si>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</si>
  <si>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</si>
  <si>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</si>
  <si>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</si>
  <si>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</si>
  <si>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</si>
  <si>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</si>
  <si>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</si>
  <si>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</si>
  <si>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</si>
  <si>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</si>
  <si>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</si>
  <si>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</si>
  <si>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</si>
  <si>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</si>
  <si>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</si>
  <si>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</si>
  <si>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</si>
  <si>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</si>
  <si>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</si>
  <si>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</si>
  <si>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</si>
  <si>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</si>
  <si>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</si>
  <si>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</si>
  <si>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</si>
  <si>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</si>
  <si>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</si>
  <si>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</si>
  <si>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</si>
  <si>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</si>
  <si>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</si>
  <si>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</si>
  <si>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</si>
  <si>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</si>
  <si>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</si>
  <si>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</si>
  <si>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</si>
  <si>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</si>
  <si>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</si>
  <si>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</si>
  <si>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</si>
  <si>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</si>
  <si>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</si>
  <si>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</si>
  <si>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</si>
  <si>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</si>
  <si>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</si>
  <si>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</si>
  <si>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</si>
  <si>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</si>
  <si>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</si>
  <si>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</si>
  <si>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</si>
  <si>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</si>
  <si>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</si>
  <si>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</si>
  <si>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</si>
  <si>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</si>
  <si>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</si>
  <si>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</si>
  <si>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</si>
  <si>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</si>
  <si>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</si>
  <si>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</si>
  <si>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</si>
  <si>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</si>
  <si>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</si>
  <si>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</si>
  <si>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</si>
  <si>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</si>
  <si>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</si>
  <si>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</si>
  <si>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</si>
  <si>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</si>
  <si>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</si>
  <si>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</si>
  <si>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</si>
  <si>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</si>
  <si>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</si>
  <si>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</si>
  <si>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</si>
  <si>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</si>
  <si>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</si>
  <si>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</si>
  <si>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</si>
  <si>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</si>
  <si>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</si>
  <si>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</si>
  <si>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</si>
  <si>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</si>
  <si>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</si>
  <si>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</si>
  <si>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</si>
  <si>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</si>
  <si>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</si>
  <si>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</si>
  <si>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</si>
  <si>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</si>
  <si>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</si>
  <si>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</si>
  <si>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</si>
  <si>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</si>
  <si>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</si>
  <si>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</si>
  <si>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</si>
  <si>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</si>
  <si>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</si>
  <si>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</si>
  <si>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</si>
  <si>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</si>
  <si>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</si>
  <si>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</si>
  <si>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</si>
  <si>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</si>
  <si>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</si>
  <si>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</si>
  <si>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</si>
  <si>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</si>
  <si>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</si>
  <si>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</si>
  <si>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</si>
  <si>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</si>
  <si>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</si>
  <si>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</si>
  <si>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</si>
  <si>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</si>
  <si>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</si>
  <si>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</si>
  <si>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</si>
  <si>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</si>
  <si>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</si>
  <si>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</si>
  <si>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</si>
  <si>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</si>
  <si>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</si>
  <si>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</si>
  <si>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</si>
  <si>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</si>
  <si>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</si>
  <si>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</si>
  <si>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</si>
  <si>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</si>
  <si>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</si>
  <si>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</si>
  <si>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</si>
  <si>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</si>
  <si>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</si>
  <si>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</si>
  <si>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</si>
  <si>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</si>
  <si>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</si>
  <si>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</si>
  <si>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</si>
  <si>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</si>
  <si>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</si>
  <si>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</si>
  <si>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</si>
  <si>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</si>
  <si>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</si>
  <si>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</si>
  <si>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</si>
  <si>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</si>
  <si>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</si>
  <si>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</si>
  <si>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</si>
  <si>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</si>
  <si>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</si>
  <si>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</si>
  <si>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</si>
  <si>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</si>
  <si>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</si>
  <si>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</si>
  <si>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</si>
  <si>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</si>
  <si>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</si>
  <si>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</si>
  <si>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</si>
  <si>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</si>
  <si>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</si>
  <si>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</si>
  <si>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</si>
  <si>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</si>
  <si>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</si>
  <si>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</si>
  <si>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</si>
  <si>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</si>
  <si>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</si>
  <si>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</si>
  <si>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</si>
  <si>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</si>
  <si>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</si>
  <si>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</si>
  <si>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</si>
  <si>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</si>
  <si>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</si>
  <si>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</si>
  <si>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</si>
  <si>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</si>
  <si>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</si>
  <si>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</si>
  <si>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</si>
  <si>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</si>
  <si>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</si>
  <si>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</si>
  <si>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</si>
  <si>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</si>
  <si>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</si>
  <si>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</si>
  <si>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</si>
  <si>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</si>
  <si>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</si>
  <si>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</si>
  <si>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</si>
  <si>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</si>
  <si>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</si>
  <si>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</si>
  <si>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</si>
  <si>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</si>
  <si>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</si>
  <si>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</si>
  <si>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</si>
  <si>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</si>
  <si>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</si>
  <si>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</si>
  <si>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</si>
  <si>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</si>
  <si>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</si>
  <si>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</si>
  <si>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</si>
  <si>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</si>
  <si>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</si>
  <si>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</si>
  <si>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</si>
  <si>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</si>
  <si>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</si>
  <si>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</si>
  <si>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</si>
  <si>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</si>
  <si>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</si>
  <si>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</si>
  <si>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</si>
  <si>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</si>
  <si>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</si>
  <si>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</si>
  <si>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</si>
  <si>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</si>
  <si>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</si>
  <si>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</si>
  <si>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</si>
  <si>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</si>
  <si>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</si>
  <si>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</si>
  <si>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</si>
  <si>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</si>
  <si>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</si>
  <si>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</si>
  <si>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</si>
  <si>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</si>
  <si>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</si>
  <si>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</si>
  <si>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</si>
  <si>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</si>
  <si>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</si>
  <si>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</si>
  <si>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</si>
  <si>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</si>
  <si>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</si>
  <si>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</si>
  <si>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</si>
  <si>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</si>
  <si>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</si>
  <si>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</si>
  <si>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</si>
  <si>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</si>
  <si>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</si>
  <si>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</si>
  <si>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</si>
  <si>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</si>
  <si>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</si>
  <si>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</si>
  <si>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</si>
  <si>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</si>
  <si>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</si>
  <si>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</si>
  <si>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</si>
  <si>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</si>
  <si>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</si>
  <si>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</si>
  <si>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</si>
  <si>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</si>
  <si>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</si>
  <si>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</si>
  <si>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</si>
  <si>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</si>
  <si>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</si>
  <si>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</si>
  <si>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</si>
  <si>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</si>
  <si>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</si>
  <si>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</si>
  <si>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</si>
  <si>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</si>
  <si>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</si>
  <si>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</si>
  <si>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</si>
  <si>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</si>
  <si>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</si>
  <si>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</si>
  <si>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</si>
  <si>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</si>
  <si>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</si>
  <si>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</si>
  <si>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</si>
  <si>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</si>
  <si>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</si>
  <si>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</si>
  <si>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</si>
  <si>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</si>
  <si>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</si>
  <si>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</si>
  <si>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</si>
  <si>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</si>
  <si>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</si>
  <si>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</si>
  <si>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</si>
  <si>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</si>
  <si>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</si>
  <si>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</si>
  <si>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</si>
  <si>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</si>
  <si>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</si>
  <si>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</si>
  <si>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</si>
  <si>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</si>
  <si>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</si>
  <si>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</si>
  <si>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</si>
  <si>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</si>
  <si>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</si>
  <si>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</si>
  <si>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</si>
  <si>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</si>
  <si>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</si>
  <si>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</si>
  <si>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</si>
  <si>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</si>
  <si>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</si>
  <si>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</si>
  <si>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</si>
  <si>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</si>
  <si>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</si>
  <si>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</si>
  <si>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</si>
  <si>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</si>
  <si>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</si>
  <si>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</si>
  <si>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</si>
  <si>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</si>
  <si>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</si>
  <si>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</si>
  <si>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</si>
  <si>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</si>
  <si>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</si>
  <si>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</si>
  <si>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</si>
  <si>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</si>
  <si>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</si>
  <si>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</si>
  <si>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</si>
  <si>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</si>
  <si>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</si>
  <si>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</si>
  <si>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</si>
  <si>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</si>
  <si>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</si>
  <si>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</si>
  <si>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</si>
  <si>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</si>
  <si>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</si>
  <si>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</si>
  <si>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</si>
  <si>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</si>
  <si>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</si>
  <si>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</si>
  <si>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</si>
  <si>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</si>
  <si>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</si>
  <si>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</si>
  <si>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</si>
  <si>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</si>
  <si>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</si>
  <si>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</si>
  <si>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</si>
  <si>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</si>
  <si>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</si>
  <si>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</si>
  <si>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</si>
  <si>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</si>
  <si>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</si>
  <si>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</si>
  <si>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</si>
  <si>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</si>
  <si>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</si>
  <si>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</si>
  <si>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</si>
  <si>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</si>
  <si>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</si>
  <si>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</si>
  <si>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</si>
  <si>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</si>
  <si>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</si>
  <si>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</si>
  <si>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</si>
  <si>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</si>
  <si>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</si>
  <si>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</si>
  <si>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</si>
  <si>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</si>
  <si>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</si>
  <si>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</si>
  <si>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</si>
  <si>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</si>
  <si>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</si>
  <si>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</si>
  <si>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</si>
  <si>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</si>
  <si>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</si>
  <si>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</si>
  <si>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</si>
  <si>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</si>
  <si>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</si>
  <si>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</si>
  <si>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</si>
  <si>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</si>
  <si>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</si>
  <si>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</si>
  <si>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</si>
  <si>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</si>
  <si>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</si>
  <si>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</si>
  <si>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</si>
  <si>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</si>
  <si>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</si>
  <si>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</si>
  <si>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</si>
  <si>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</si>
  <si>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</si>
  <si>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</si>
  <si>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</si>
  <si>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</si>
  <si>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</si>
  <si>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</si>
  <si>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</si>
  <si>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</si>
  <si>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</si>
  <si>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</si>
  <si>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</si>
  <si>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</si>
  <si>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</si>
  <si>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</si>
  <si>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</si>
  <si>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</si>
  <si>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</si>
  <si>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</si>
  <si>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</si>
  <si>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</si>
  <si>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</si>
  <si>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</si>
  <si>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</si>
  <si>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</si>
  <si>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</si>
  <si>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</si>
  <si>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</si>
  <si>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</si>
  <si>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</si>
  <si>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</si>
  <si>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</si>
  <si>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</si>
  <si>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</si>
  <si>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</si>
  <si>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</si>
  <si>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</si>
  <si>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</si>
  <si>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</si>
  <si>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</si>
  <si>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</si>
  <si>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</si>
  <si>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</si>
  <si>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</si>
  <si>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</si>
  <si>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</si>
  <si>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</si>
  <si>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</si>
  <si>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</si>
  <si>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</si>
  <si>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</si>
  <si>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</si>
  <si>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</si>
  <si>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</si>
  <si>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</si>
  <si>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</si>
  <si>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</si>
  <si>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</si>
  <si>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</si>
  <si>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</si>
  <si>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</si>
  <si>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</si>
  <si>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</si>
  <si>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</si>
  <si>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</si>
  <si>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</si>
  <si>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</si>
  <si>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</si>
  <si>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</si>
  <si>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</si>
  <si>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</si>
  <si>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</si>
  <si>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</si>
  <si>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</si>
  <si>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</si>
  <si>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</si>
  <si>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</si>
  <si>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</si>
  <si>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</si>
  <si>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</si>
  <si>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</si>
  <si>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</si>
  <si>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</si>
  <si>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</si>
  <si>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</si>
  <si>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</si>
  <si>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</si>
  <si>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</si>
  <si>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</si>
  <si>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</si>
  <si>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</si>
  <si>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</si>
  <si>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</si>
  <si>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</si>
  <si>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</si>
  <si>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</si>
  <si>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</si>
  <si>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</si>
  <si>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</si>
  <si>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</si>
  <si>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</si>
  <si>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</si>
  <si>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</si>
  <si>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</si>
  <si>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</si>
  <si>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</si>
  <si>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</si>
  <si>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</si>
  <si>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</si>
  <si>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</si>
  <si>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</si>
  <si>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</si>
  <si>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</si>
  <si>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</si>
  <si>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</si>
  <si>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</si>
  <si>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</si>
  <si>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</si>
  <si>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</si>
  <si>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</si>
  <si>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</si>
  <si>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</si>
  <si>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</si>
  <si>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</si>
  <si>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</si>
  <si>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</si>
  <si>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</si>
  <si>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</si>
  <si>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</si>
  <si>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</si>
  <si>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</si>
  <si>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</si>
  <si>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</si>
  <si>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</si>
  <si>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</si>
  <si>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</si>
  <si>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</si>
  <si>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</si>
  <si>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</si>
  <si>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</si>
  <si>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</si>
  <si>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</si>
  <si>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</si>
  <si>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</si>
  <si>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</si>
  <si>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</si>
  <si>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</si>
  <si>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</si>
  <si>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</si>
  <si>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</si>
  <si>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</si>
  <si>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</si>
  <si>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</si>
  <si>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</si>
  <si>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</si>
  <si>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</si>
  <si>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</si>
  <si>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</si>
  <si>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</si>
  <si>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</si>
  <si>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</si>
  <si>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</si>
  <si>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</si>
  <si>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</si>
  <si>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</si>
  <si>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</si>
  <si>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</si>
  <si>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</si>
  <si>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</si>
  <si>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</si>
  <si>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</si>
  <si>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</si>
  <si>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</si>
  <si>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</si>
  <si>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</si>
  <si>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</si>
  <si>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</si>
  <si>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</si>
  <si>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</si>
  <si>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</si>
  <si>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</si>
  <si>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</si>
  <si>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</si>
  <si>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</si>
  <si>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</si>
  <si>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</si>
  <si>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</si>
  <si>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</si>
  <si>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</si>
  <si>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</si>
  <si>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</si>
  <si>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</si>
  <si>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</si>
  <si>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</si>
  <si>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</si>
  <si>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</si>
  <si>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</si>
  <si>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</si>
  <si>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</si>
  <si>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</si>
  <si>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</si>
  <si>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</si>
  <si>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</si>
  <si>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</si>
  <si>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</si>
  <si>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</si>
  <si>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</si>
  <si>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</si>
  <si>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</si>
  <si>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</si>
  <si>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</si>
  <si>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</si>
  <si>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</si>
  <si>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</si>
  <si>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</si>
  <si>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</si>
  <si>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</si>
  <si>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</si>
  <si>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</si>
  <si>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</si>
  <si>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</si>
  <si>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</si>
  <si>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</si>
  <si>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</si>
  <si>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</si>
  <si>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</si>
  <si>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</si>
  <si>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</si>
  <si>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</si>
  <si>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</si>
  <si>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</si>
  <si>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</si>
  <si>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</si>
  <si>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</si>
  <si>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</si>
  <si>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</si>
  <si>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</si>
  <si>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</si>
  <si>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</si>
  <si>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</si>
  <si>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</si>
  <si>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</si>
  <si>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</si>
  <si>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</si>
  <si>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</si>
  <si>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</si>
  <si>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</si>
  <si>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</si>
  <si>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</si>
  <si>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</si>
  <si>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</si>
  <si>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</si>
  <si>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</si>
  <si>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</si>
  <si>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</si>
  <si>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</si>
  <si>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</si>
  <si>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</si>
  <si>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</si>
  <si>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</si>
  <si>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</si>
  <si>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</si>
  <si>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</si>
  <si>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</si>
  <si>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</si>
  <si>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</si>
  <si>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</si>
  <si>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</si>
  <si>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</si>
  <si>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</si>
  <si>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</si>
  <si>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</si>
  <si>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</si>
  <si>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</si>
  <si>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</si>
  <si>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</si>
  <si>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</si>
  <si>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</si>
  <si>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</si>
  <si>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</si>
  <si>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</si>
  <si>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</si>
  <si>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</si>
  <si>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</si>
  <si>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</si>
  <si>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</si>
  <si>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</si>
  <si>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</si>
  <si>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</si>
  <si>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</si>
  <si>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</si>
  <si>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</si>
  <si>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</si>
  <si>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</si>
  <si>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</si>
  <si>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</si>
  <si>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</si>
  <si>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</si>
  <si>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</si>
  <si>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</si>
  <si>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</si>
  <si>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</si>
  <si>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</si>
  <si>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</si>
  <si>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</si>
  <si>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</si>
  <si>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</si>
  <si>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</si>
  <si>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</si>
  <si>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</si>
  <si>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</si>
  <si>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</si>
  <si>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</si>
  <si>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</si>
  <si>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</si>
  <si>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</si>
  <si>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</si>
  <si>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</si>
  <si>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</si>
  <si>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</si>
  <si>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</si>
  <si>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</si>
  <si>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</si>
  <si>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</si>
  <si>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</si>
  <si>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</si>
  <si>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</si>
  <si>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</si>
  <si>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</si>
  <si>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</si>
  <si>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</si>
  <si>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</si>
  <si>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</si>
  <si>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</si>
  <si>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</si>
  <si>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</si>
  <si>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</si>
  <si>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</si>
  <si>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</si>
  <si>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</si>
  <si>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</si>
  <si>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</si>
  <si>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</si>
  <si>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</si>
  <si>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</si>
  <si>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</si>
  <si>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</si>
  <si>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</si>
  <si>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</si>
  <si>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</si>
  <si>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</si>
  <si>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</si>
  <si>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</si>
  <si>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</si>
  <si>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</si>
  <si>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</si>
  <si>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</si>
  <si>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</si>
  <si>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</si>
  <si>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</si>
  <si>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</si>
  <si>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</si>
  <si>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</si>
  <si>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</si>
  <si>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</si>
  <si>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</si>
  <si>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</si>
  <si>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</si>
  <si>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</si>
  <si>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</si>
  <si>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</si>
  <si>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</si>
  <si>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</si>
  <si>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</si>
  <si>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</si>
  <si>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</si>
  <si>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</si>
  <si>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</si>
  <si>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</si>
  <si>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</si>
  <si>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</si>
  <si>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</si>
  <si>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</si>
  <si>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</si>
  <si>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</si>
  <si>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</si>
  <si>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</si>
  <si>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</si>
  <si>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</si>
  <si>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</si>
  <si>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</si>
  <si>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</si>
  <si>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</si>
  <si>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</si>
  <si>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</si>
  <si>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</si>
  <si>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</si>
  <si>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</si>
  <si>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</si>
  <si>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</si>
  <si>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</si>
  <si>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</si>
  <si>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</si>
  <si>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</si>
  <si>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</si>
  <si>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</si>
  <si>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</si>
  <si>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</si>
  <si>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</si>
  <si>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</si>
  <si>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</si>
  <si>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</si>
  <si>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</si>
  <si>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</si>
  <si>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</si>
  <si>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</si>
  <si>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</si>
  <si>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</si>
  <si>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</si>
  <si>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</si>
  <si>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</si>
  <si>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</si>
  <si>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</si>
  <si>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</si>
  <si>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</si>
  <si>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</si>
  <si>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</si>
  <si>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</si>
  <si>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</si>
  <si>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</si>
  <si>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</si>
  <si>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</si>
  <si>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</si>
  <si>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</si>
  <si>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</si>
  <si>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</si>
  <si>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</si>
  <si>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</si>
  <si>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</si>
  <si>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</si>
  <si>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</si>
  <si>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</si>
  <si>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</si>
  <si>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</si>
  <si>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</si>
  <si>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</si>
  <si>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</si>
  <si>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</si>
  <si>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</si>
  <si>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</si>
  <si>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</si>
  <si>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</si>
  <si>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</si>
  <si>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</si>
  <si>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</si>
  <si>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</si>
  <si>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</si>
  <si>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</si>
  <si>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</si>
  <si>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</si>
  <si>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</si>
  <si>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</si>
  <si>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</si>
  <si>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</si>
  <si>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</si>
  <si>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</si>
  <si>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</si>
  <si>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</si>
  <si>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</si>
  <si>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</si>
  <si>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</si>
  <si>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</si>
  <si>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</si>
  <si>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</si>
  <si>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</si>
  <si>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</si>
  <si>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</si>
  <si>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</si>
  <si>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</si>
  <si>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</si>
  <si>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</si>
  <si>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</si>
  <si>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</si>
  <si>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</si>
  <si>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</si>
  <si>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</si>
  <si>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</si>
  <si>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</si>
  <si>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</si>
  <si>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</si>
  <si>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</si>
  <si>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</si>
  <si>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</si>
  <si>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</si>
  <si>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</si>
  <si>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</si>
  <si>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</si>
  <si>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</si>
  <si>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</si>
  <si>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</si>
  <si>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</si>
  <si>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</si>
  <si>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</si>
  <si>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</si>
  <si>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</si>
  <si>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</si>
  <si>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</si>
  <si>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</si>
  <si>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</si>
  <si>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</si>
  <si>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</si>
  <si>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</si>
  <si>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</si>
  <si>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</si>
  <si>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</si>
  <si>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</si>
  <si>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</si>
  <si>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</si>
  <si>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</si>
  <si>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</si>
  <si>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</si>
  <si>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</si>
  <si>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</si>
  <si>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</si>
  <si>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</si>
  <si>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</si>
  <si>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</si>
  <si>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</si>
  <si>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</si>
  <si>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</si>
  <si>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</si>
  <si>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</si>
  <si>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</si>
  <si>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</si>
  <si>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</si>
  <si>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</si>
  <si>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</si>
  <si>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</si>
  <si>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</si>
  <si>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</si>
  <si>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</si>
  <si>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</si>
  <si>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</si>
  <si>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</si>
  <si>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</si>
  <si>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</si>
  <si>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</si>
  <si>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</si>
  <si>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</si>
  <si>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</si>
  <si>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</si>
  <si>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</si>
  <si>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</si>
  <si>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</si>
  <si>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</si>
  <si>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</si>
  <si>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</si>
  <si>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</si>
  <si>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</si>
  <si>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</si>
  <si>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</si>
  <si>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</si>
  <si>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</si>
  <si>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</si>
  <si>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</si>
  <si>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</si>
  <si>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</si>
  <si>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</si>
  <si>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</si>
  <si>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</si>
  <si>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</si>
  <si>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</si>
  <si>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</si>
  <si>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</si>
  <si>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</si>
  <si>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</si>
  <si>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</si>
  <si>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</si>
  <si>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</si>
  <si>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</si>
  <si>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</si>
  <si>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</si>
  <si>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</si>
  <si>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</si>
  <si>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</si>
  <si>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</si>
  <si>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</si>
  <si>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</si>
  <si>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</si>
  <si>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</si>
  <si>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</si>
  <si>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</si>
  <si>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</si>
  <si>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</si>
  <si>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</si>
  <si>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</si>
  <si>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</si>
  <si>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</si>
  <si>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</si>
  <si>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</si>
  <si>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</si>
  <si>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</si>
  <si>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</si>
  <si>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</si>
  <si>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</si>
  <si>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</si>
  <si>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</si>
  <si>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</si>
  <si>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</si>
  <si>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</si>
  <si>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</si>
  <si>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</si>
  <si>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</si>
  <si>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</si>
  <si>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</si>
  <si>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</si>
  <si>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</si>
  <si>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</si>
  <si>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</si>
  <si>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</si>
  <si>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</si>
  <si>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</si>
  <si>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</si>
  <si>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</si>
  <si>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</si>
  <si>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</si>
  <si>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</si>
  <si>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</si>
  <si>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</si>
  <si>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</si>
  <si>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</si>
  <si>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</si>
  <si>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</si>
  <si>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</si>
  <si>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</si>
  <si>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</si>
  <si>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</si>
  <si>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</si>
  <si>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</si>
  <si>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</si>
  <si>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</si>
  <si>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</si>
  <si>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</si>
  <si>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</si>
  <si>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</si>
  <si>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</si>
  <si>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</si>
  <si>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</si>
  <si>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</si>
  <si>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</si>
  <si>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</si>
  <si>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</si>
  <si>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</si>
  <si>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</si>
  <si>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</si>
  <si>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</si>
  <si>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</si>
  <si>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</si>
  <si>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</si>
  <si>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</si>
  <si>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</si>
  <si>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</si>
  <si>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</si>
  <si>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</si>
  <si>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</si>
  <si>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</si>
  <si>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</si>
  <si>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</si>
  <si>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</si>
  <si>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</si>
  <si>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</si>
  <si>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</si>
  <si>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</si>
  <si>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</si>
  <si>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</si>
  <si>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</si>
  <si>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</si>
  <si>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</si>
  <si>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</si>
  <si>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</si>
  <si>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</si>
  <si>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</si>
  <si>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</si>
  <si>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</si>
  <si>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</si>
  <si>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</si>
  <si>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</si>
  <si>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</si>
  <si>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</si>
  <si>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</si>
  <si>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</si>
  <si>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</si>
  <si>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</si>
  <si>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</si>
  <si>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</si>
  <si>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</si>
  <si>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</si>
  <si>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</si>
  <si>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</si>
  <si>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</si>
  <si>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</si>
  <si>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</si>
  <si>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</si>
  <si>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</si>
  <si>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</si>
  <si>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</si>
  <si>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</si>
  <si>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</si>
  <si>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</si>
  <si>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</si>
  <si>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</si>
  <si>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</si>
  <si>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</si>
  <si>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</si>
  <si>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</si>
  <si>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</si>
  <si>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</si>
  <si>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</si>
  <si>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</si>
  <si>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</si>
  <si>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</si>
  <si>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</si>
  <si>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</si>
  <si>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</si>
  <si>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</si>
  <si>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</si>
  <si>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</si>
  <si>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</si>
  <si>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</si>
  <si>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</si>
  <si>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</si>
  <si>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</si>
  <si>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</si>
  <si>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</si>
  <si>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</si>
  <si>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</si>
  <si>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</si>
  <si>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</si>
  <si>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</si>
  <si>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</si>
  <si>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</si>
  <si>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</si>
  <si>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</si>
  <si>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</si>
  <si>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</si>
  <si>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</si>
  <si>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</si>
  <si>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</si>
  <si>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</si>
  <si>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</si>
  <si>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</si>
  <si>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</si>
  <si>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</si>
  <si>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</si>
  <si>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</si>
  <si>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</si>
  <si>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</si>
  <si>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</si>
  <si>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</si>
  <si>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</si>
  <si>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</si>
  <si>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</si>
  <si>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</si>
  <si>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</si>
  <si>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</si>
  <si>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</si>
  <si>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</si>
  <si>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</si>
  <si>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</si>
  <si>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</si>
  <si>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</si>
  <si>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</si>
  <si>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</si>
  <si>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</si>
  <si>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</si>
  <si>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</si>
  <si>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</si>
  <si>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</si>
  <si>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</si>
  <si>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</si>
  <si>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</si>
  <si>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</si>
  <si>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</si>
  <si>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</si>
  <si>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</si>
  <si>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</si>
  <si>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</si>
  <si>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</si>
  <si>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</si>
  <si>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</si>
  <si>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</si>
  <si>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</si>
  <si>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</si>
  <si>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</si>
  <si>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</si>
  <si>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</si>
  <si>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</si>
  <si>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</si>
  <si>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</si>
  <si>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</si>
  <si>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</si>
  <si>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</si>
  <si>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</si>
  <si>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</si>
  <si>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</si>
  <si>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</si>
  <si>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</si>
  <si>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</si>
  <si>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</si>
  <si>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</si>
  <si>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</si>
  <si>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</si>
  <si>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</si>
  <si>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</si>
  <si>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</si>
  <si>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</si>
  <si>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</si>
  <si>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</si>
  <si>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</si>
  <si>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</si>
  <si>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</si>
  <si>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</si>
  <si>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</si>
  <si>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</si>
  <si>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</si>
  <si>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</si>
  <si>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</si>
  <si>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</si>
  <si>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</si>
  <si>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</si>
  <si>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</si>
  <si>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</si>
  <si>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</si>
  <si>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</si>
  <si>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</si>
  <si>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</si>
  <si>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</si>
  <si>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</si>
  <si>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</si>
  <si>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</si>
  <si>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</si>
  <si>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</si>
  <si>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</si>
  <si>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</si>
  <si>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</si>
  <si>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</si>
  <si>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</si>
  <si>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</si>
  <si>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</si>
  <si>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</si>
  <si>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</si>
  <si>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</si>
  <si>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</si>
  <si>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</si>
  <si>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</si>
  <si>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</si>
  <si>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</si>
  <si>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</si>
  <si>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</si>
  <si>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</si>
  <si>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</si>
  <si>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</si>
  <si>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</si>
  <si>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</si>
  <si>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</si>
  <si>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</si>
  <si>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</si>
  <si>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</si>
  <si>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</si>
  <si>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</si>
  <si>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</si>
  <si>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</si>
  <si>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</si>
  <si>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</si>
  <si>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</si>
  <si>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</si>
  <si>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</si>
  <si>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</si>
  <si>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</si>
  <si>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</si>
  <si>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</si>
  <si>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</si>
  <si>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</si>
  <si>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</si>
  <si>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</si>
  <si>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</si>
  <si>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</si>
  <si>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</si>
  <si>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</si>
  <si>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</si>
  <si>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</si>
  <si>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</si>
  <si>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</si>
  <si>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</si>
  <si>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</si>
  <si>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</si>
  <si>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</si>
  <si>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</si>
  <si>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</si>
  <si>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</si>
  <si>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</si>
  <si>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</si>
  <si>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</si>
  <si>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</si>
  <si>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</si>
  <si>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</si>
  <si>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</si>
  <si>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</si>
  <si>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</si>
  <si>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</si>
  <si>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</si>
  <si>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</si>
  <si>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</si>
  <si>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</si>
  <si>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</si>
  <si>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</si>
  <si>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</si>
  <si>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</si>
  <si>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</si>
  <si>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</si>
  <si>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</si>
  <si>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</si>
  <si>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</si>
  <si>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</si>
  <si>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</si>
  <si>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</si>
  <si>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</si>
  <si>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</si>
  <si>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</si>
  <si>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</si>
  <si>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</si>
  <si>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</si>
  <si>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</si>
  <si>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</si>
  <si>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</si>
  <si>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</si>
  <si>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</si>
  <si>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</si>
  <si>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</si>
  <si>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</si>
  <si>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</si>
  <si>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</si>
  <si>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</si>
  <si>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</si>
  <si>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</si>
  <si>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</si>
  <si>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</si>
  <si>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</si>
  <si>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</si>
  <si>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</si>
  <si>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</si>
  <si>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</si>
  <si>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</si>
  <si>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</si>
  <si>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</si>
  <si>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</si>
  <si>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</si>
  <si>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</si>
  <si>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</si>
  <si>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</si>
  <si>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</si>
  <si>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</si>
  <si>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</si>
  <si>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</si>
  <si>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</si>
  <si>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</si>
  <si>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</si>
  <si>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</si>
  <si>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</si>
  <si>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</si>
  <si>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</si>
  <si>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</si>
  <si>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</si>
  <si>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</si>
  <si>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</si>
  <si>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</si>
  <si>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</si>
  <si>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</si>
  <si>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</si>
  <si>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</si>
  <si>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</si>
  <si>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</si>
  <si>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</si>
  <si>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</si>
  <si>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</si>
  <si>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</si>
  <si>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</si>
  <si>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</si>
  <si>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</si>
  <si>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</si>
  <si>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</si>
  <si>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</si>
  <si>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</si>
  <si>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</si>
  <si>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</si>
  <si>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</si>
  <si>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</si>
  <si>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</si>
  <si>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</si>
  <si>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</si>
  <si>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</si>
  <si>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</si>
  <si>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</si>
  <si>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</si>
  <si>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</si>
  <si>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</si>
  <si>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</si>
  <si>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</si>
  <si>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</si>
  <si>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</si>
  <si>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</si>
  <si>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</si>
  <si>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</si>
  <si>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</si>
  <si>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</si>
  <si>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</si>
  <si>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</si>
  <si>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</si>
  <si>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</si>
  <si>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</si>
  <si>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</si>
  <si>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</si>
  <si>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</si>
  <si>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</si>
  <si>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</si>
  <si>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</si>
  <si>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</si>
  <si>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</si>
  <si>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</si>
  <si>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</si>
  <si>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</si>
  <si>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</si>
  <si>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</si>
  <si>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</si>
  <si>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</si>
  <si>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</si>
  <si>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</si>
  <si>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</si>
  <si>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</si>
  <si>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</si>
  <si>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</si>
  <si>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</si>
  <si>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</si>
  <si>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</si>
  <si>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</si>
  <si>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</si>
  <si>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</si>
  <si>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</si>
  <si>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</si>
  <si>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</si>
  <si>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</si>
  <si>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</si>
  <si>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</si>
  <si>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</si>
  <si>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</si>
  <si>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</si>
  <si>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</si>
  <si>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</si>
  <si>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</si>
  <si>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</si>
  <si>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</si>
  <si>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</si>
  <si>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</si>
  <si>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</si>
  <si>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</si>
  <si>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</si>
  <si>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</si>
  <si>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</si>
  <si>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</si>
  <si>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</si>
  <si>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</si>
  <si>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</si>
  <si>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</si>
  <si>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</si>
  <si>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</si>
  <si>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</si>
  <si>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</si>
  <si>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</si>
  <si>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</si>
  <si>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</si>
  <si>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</si>
  <si>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</si>
  <si>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</si>
  <si>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</si>
  <si>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</si>
  <si>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</si>
  <si>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</si>
  <si>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</si>
  <si>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</si>
  <si>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</si>
  <si>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</si>
  <si>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</si>
  <si>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</si>
  <si>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</si>
  <si>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</si>
  <si>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</si>
  <si>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</si>
  <si>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</si>
  <si>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</si>
  <si>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</si>
  <si>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</si>
  <si>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</si>
  <si>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</si>
  <si>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</si>
  <si>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</si>
  <si>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</si>
  <si>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</si>
  <si>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</si>
  <si>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</si>
  <si>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</si>
  <si>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</si>
  <si>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</si>
  <si>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</si>
  <si>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</si>
  <si>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</si>
  <si>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</si>
  <si>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</si>
  <si>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</si>
  <si>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</si>
  <si>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</si>
  <si>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</si>
  <si>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</si>
  <si>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</si>
  <si>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</si>
  <si>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</si>
  <si>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</si>
  <si>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</si>
  <si>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</si>
  <si>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</si>
  <si>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</si>
  <si>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</si>
  <si>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</si>
  <si>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</si>
  <si>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</si>
  <si>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</si>
  <si>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</si>
  <si>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</si>
  <si>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</si>
  <si>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</si>
  <si>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</si>
  <si>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</si>
  <si>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</si>
  <si>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</si>
  <si>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</si>
  <si>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</si>
  <si>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</si>
  <si>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</si>
  <si>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</si>
  <si>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</si>
  <si>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</si>
  <si>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</si>
  <si>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</si>
  <si>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</si>
  <si>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</si>
  <si>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</si>
  <si>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</si>
  <si>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</si>
  <si>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</si>
  <si>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</si>
  <si>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</si>
  <si>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</si>
  <si>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</si>
  <si>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</si>
  <si>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</si>
  <si>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</si>
  <si>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</si>
  <si>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</si>
  <si>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</si>
  <si>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</si>
  <si>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</si>
  <si>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</si>
  <si>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</si>
  <si>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</si>
  <si>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</si>
  <si>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</si>
  <si>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</si>
  <si>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</si>
  <si>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</si>
  <si>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</si>
  <si>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</si>
  <si>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</si>
  <si>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</si>
  <si>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</si>
  <si>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</si>
  <si>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</si>
  <si>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</si>
  <si>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</si>
  <si>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</si>
  <si>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</si>
  <si>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</si>
  <si>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</si>
  <si>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</si>
  <si>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</si>
  <si>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</si>
  <si>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</si>
  <si>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</si>
  <si>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</si>
  <si>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</si>
  <si>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</si>
  <si>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</si>
  <si>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</si>
  <si>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</si>
  <si>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</si>
  <si>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</si>
  <si>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</si>
  <si>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</si>
  <si>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</si>
  <si>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</si>
  <si>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</si>
  <si>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</si>
  <si>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</si>
  <si>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</si>
  <si>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</si>
  <si>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</si>
  <si>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</si>
  <si>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</si>
  <si>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</si>
  <si>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</si>
  <si>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</si>
  <si>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</si>
  <si>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</si>
  <si>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</si>
  <si>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</si>
  <si>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</si>
  <si>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</si>
  <si>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</si>
  <si>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</si>
  <si>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</si>
  <si>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</si>
  <si>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</si>
  <si>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</si>
  <si>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</si>
  <si>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</si>
  <si>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</si>
  <si>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</si>
  <si>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</si>
  <si>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</si>
  <si>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</si>
  <si>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</si>
  <si>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</si>
  <si>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</si>
  <si>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</si>
  <si>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</si>
  <si>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</si>
  <si>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</si>
  <si>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</si>
  <si>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</si>
  <si>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</si>
  <si>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</si>
  <si>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</si>
  <si>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</si>
  <si>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</si>
  <si>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</si>
  <si>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</si>
  <si>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</si>
  <si>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</si>
  <si>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</si>
  <si>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</si>
  <si>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</si>
  <si>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</si>
  <si>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</si>
  <si>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</si>
  <si>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</si>
  <si>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</si>
  <si>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</si>
  <si>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</si>
  <si>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</si>
  <si>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</si>
  <si>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</si>
  <si>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</si>
  <si>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</si>
  <si>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</si>
  <si>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</si>
  <si>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</si>
  <si>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</si>
  <si>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</si>
  <si>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</si>
  <si>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</si>
  <si>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</si>
  <si>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</si>
  <si>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</si>
  <si>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</si>
  <si>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</si>
  <si>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</si>
  <si>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</si>
  <si>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</si>
  <si>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</si>
  <si>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</si>
  <si>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</si>
  <si>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</si>
  <si>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</si>
  <si>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</si>
  <si>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</si>
  <si>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</si>
  <si>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</si>
  <si>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</si>
  <si>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</si>
  <si>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</si>
  <si>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</si>
  <si>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</si>
  <si>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</si>
  <si>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</si>
  <si>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</si>
  <si>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</si>
  <si>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</si>
  <si>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</si>
  <si>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</si>
  <si>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</si>
  <si>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</si>
  <si>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</si>
  <si>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</si>
  <si>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</si>
  <si>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</si>
  <si>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</si>
  <si>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</si>
  <si>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</si>
  <si>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</si>
  <si>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</si>
  <si>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</si>
  <si>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</si>
  <si>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</si>
  <si>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</si>
  <si>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</si>
  <si>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</si>
  <si>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</si>
  <si>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</si>
  <si>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</si>
  <si>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</si>
  <si>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</si>
  <si>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</si>
  <si>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</si>
  <si>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</si>
  <si>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</si>
  <si>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</si>
  <si>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</si>
  <si>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</si>
  <si>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</si>
  <si>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</si>
  <si>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</si>
  <si>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</si>
  <si>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</si>
  <si>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</si>
  <si>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</si>
  <si>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</si>
  <si>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</si>
  <si>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</si>
  <si>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</si>
  <si>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</si>
  <si>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</si>
  <si>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</si>
  <si>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</si>
  <si>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</si>
  <si>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</si>
  <si>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</si>
  <si>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</si>
  <si>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</si>
  <si>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</si>
  <si>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</si>
  <si>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</si>
  <si>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</si>
  <si>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</si>
  <si>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</si>
  <si>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</si>
  <si>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</si>
  <si>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</si>
  <si>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</si>
  <si>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</si>
  <si>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</si>
  <si>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</si>
  <si>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</si>
  <si>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</si>
  <si>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</si>
  <si>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</si>
  <si>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</si>
  <si>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</si>
  <si>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</si>
  <si>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</si>
  <si>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</si>
  <si>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</si>
  <si>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</si>
  <si>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</si>
  <si>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</si>
  <si>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</si>
  <si>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</si>
  <si>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</si>
  <si>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</si>
  <si>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</si>
  <si>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</si>
  <si>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</si>
  <si>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</si>
  <si>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</si>
  <si>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</si>
  <si>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</si>
  <si>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</si>
  <si>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</si>
  <si>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</si>
  <si>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</si>
  <si>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</si>
  <si>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</si>
  <si>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</si>
  <si>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</si>
  <si>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</si>
  <si>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</si>
  <si>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</si>
  <si>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</si>
  <si>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</si>
  <si>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</si>
  <si>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</si>
  <si>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</si>
  <si>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</si>
  <si>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</si>
  <si>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</si>
  <si>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</si>
  <si>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</si>
  <si>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</si>
  <si>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</si>
  <si>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</si>
  <si>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</si>
  <si>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</si>
  <si>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</si>
  <si>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</si>
  <si>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</si>
  <si>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</si>
  <si>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</si>
  <si>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</si>
  <si>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</si>
  <si>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</si>
  <si>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</si>
  <si>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</si>
  <si>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</si>
  <si>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</si>
  <si>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</si>
  <si>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</si>
  <si>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</si>
  <si>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</si>
  <si>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</si>
  <si>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</si>
  <si>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</si>
  <si>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</si>
  <si>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</si>
  <si>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</si>
  <si>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</si>
  <si>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</si>
  <si>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</si>
  <si>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</si>
  <si>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</si>
  <si>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</si>
  <si>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</si>
  <si>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</si>
  <si>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</si>
  <si>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</si>
  <si>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</si>
  <si>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</si>
  <si>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</si>
  <si>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</si>
  <si>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</si>
  <si>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</si>
  <si>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</si>
  <si>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</si>
  <si>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</si>
  <si>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</si>
  <si>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</si>
  <si>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</si>
  <si>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</si>
  <si>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</si>
  <si>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</si>
  <si>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</si>
  <si>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</si>
  <si>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</si>
  <si>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</si>
  <si>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</si>
  <si>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</si>
  <si>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</si>
  <si>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</si>
  <si>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</si>
  <si>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</si>
  <si>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</si>
  <si>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</si>
  <si>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</si>
  <si>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</si>
  <si>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</si>
  <si>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</si>
  <si>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</si>
  <si>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</si>
  <si>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</si>
  <si>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</si>
  <si>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</si>
  <si>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</si>
  <si>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</si>
  <si>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</si>
  <si>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</si>
  <si>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</si>
  <si>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</si>
  <si>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</si>
  <si>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</si>
  <si>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</si>
  <si>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</si>
  <si>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</si>
  <si>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</si>
  <si>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</si>
  <si>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</si>
  <si>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</si>
  <si>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</si>
  <si>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</si>
  <si>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</si>
  <si>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</si>
  <si>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</si>
  <si>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</si>
  <si>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</si>
  <si>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</si>
  <si>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</si>
  <si>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</si>
  <si>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</si>
  <si>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</si>
  <si>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</si>
  <si>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</si>
  <si>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</si>
  <si>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</si>
  <si>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</si>
  <si>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</si>
  <si>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</si>
  <si>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</si>
  <si>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</si>
  <si>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</si>
  <si>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</si>
  <si>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</si>
  <si>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</si>
  <si>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</si>
  <si>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</si>
  <si>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</si>
  <si>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</si>
  <si>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</si>
  <si>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</si>
  <si>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</si>
  <si>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</si>
  <si>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</si>
  <si>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</si>
  <si>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</si>
  <si>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</si>
  <si>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</si>
  <si>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</si>
  <si>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</si>
  <si>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</si>
  <si>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</si>
  <si>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</si>
  <si>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</si>
  <si>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</si>
  <si>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</si>
  <si>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</si>
  <si>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</si>
  <si>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</si>
  <si>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</si>
  <si>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</si>
  <si>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</si>
  <si>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</si>
  <si>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</si>
  <si>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</si>
  <si>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</si>
  <si>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</si>
  <si>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</si>
  <si>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</si>
  <si>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</si>
  <si>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</si>
  <si>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</si>
  <si>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</si>
  <si>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</si>
  <si>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</si>
  <si>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</si>
  <si>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</si>
  <si>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</si>
  <si>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</si>
  <si>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</si>
  <si>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</si>
  <si>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</si>
  <si>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</si>
  <si>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</si>
  <si>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</si>
  <si>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</si>
  <si>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</si>
  <si>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</si>
  <si>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</si>
  <si>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</si>
  <si>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</si>
  <si>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</si>
  <si>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</si>
  <si>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</si>
  <si>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</si>
  <si>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</si>
  <si>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</si>
  <si>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</si>
  <si>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</si>
  <si>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</si>
  <si>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</si>
  <si>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</si>
  <si>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</si>
  <si>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</si>
  <si>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</si>
  <si>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</si>
  <si>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</si>
  <si>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</si>
  <si>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</si>
  <si>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</si>
  <si>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</si>
  <si>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</si>
  <si>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</si>
  <si>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</si>
  <si>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</si>
  <si>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</si>
  <si>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</si>
  <si>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</si>
  <si>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</si>
  <si>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</si>
  <si>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</si>
  <si>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</si>
  <si>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</si>
  <si>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</si>
  <si>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</si>
  <si>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</si>
  <si>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</si>
  <si>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</si>
  <si>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</si>
  <si>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</si>
  <si>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</si>
  <si>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</si>
  <si>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</si>
  <si>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</si>
  <si>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</si>
  <si>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</si>
  <si>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</si>
  <si>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</si>
  <si>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</si>
  <si>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</si>
  <si>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</si>
  <si>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</si>
  <si>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</si>
  <si>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</si>
  <si>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</si>
  <si>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</si>
  <si>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</si>
  <si>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</si>
  <si>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</si>
  <si>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</si>
  <si>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</si>
  <si>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</si>
  <si>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</si>
  <si>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</si>
  <si>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</si>
  <si>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</si>
  <si>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</si>
  <si>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</si>
  <si>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</si>
  <si>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</si>
  <si>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</si>
  <si>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</si>
  <si>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</si>
  <si>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</si>
  <si>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</si>
  <si>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</si>
  <si>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</si>
  <si>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</si>
  <si>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</si>
  <si>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</si>
  <si>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</si>
  <si>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</si>
  <si>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</si>
  <si>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</si>
  <si>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</si>
  <si>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</si>
  <si>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</si>
  <si>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</si>
  <si>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</si>
  <si>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</si>
  <si>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</si>
  <si>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</si>
  <si>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</si>
  <si>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</si>
  <si>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</si>
  <si>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</si>
  <si>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</si>
  <si>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</si>
  <si>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</si>
  <si>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</si>
  <si>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</si>
  <si>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</si>
  <si>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</si>
  <si>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</si>
  <si>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</si>
  <si>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</si>
  <si>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</si>
  <si>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</si>
  <si>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</si>
  <si>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</si>
  <si>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</si>
  <si>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</si>
  <si>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</si>
  <si>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</si>
  <si>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</si>
  <si>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</si>
  <si>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</si>
  <si>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</si>
  <si>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</si>
  <si>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</si>
  <si>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</si>
  <si>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</si>
  <si>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</si>
  <si>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</si>
  <si>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</si>
  <si>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</si>
  <si>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</si>
  <si>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</si>
  <si>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</si>
  <si>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</si>
  <si>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</si>
  <si>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</si>
  <si>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</si>
  <si>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</si>
  <si>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</si>
  <si>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</si>
  <si>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</si>
  <si>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</si>
  <si>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</si>
  <si>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</si>
  <si>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</si>
  <si>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</si>
  <si>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</si>
  <si>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</si>
  <si>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</si>
  <si>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</si>
  <si>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</si>
  <si>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</si>
  <si>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</si>
  <si>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</si>
  <si>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</si>
  <si>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</si>
  <si>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</si>
  <si>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</si>
  <si>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</si>
  <si>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</si>
  <si>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</si>
  <si>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</si>
  <si>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</si>
  <si>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</si>
  <si>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</si>
  <si>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</si>
  <si>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</si>
  <si>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</si>
  <si>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</si>
  <si>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</si>
  <si>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</si>
  <si>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</si>
  <si>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</si>
  <si>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</si>
  <si>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</si>
  <si>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</si>
  <si>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</si>
  <si>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</si>
  <si>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</si>
  <si>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</si>
  <si>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</si>
  <si>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</si>
  <si>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</si>
  <si>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</si>
  <si>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</si>
  <si>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</si>
  <si>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</si>
  <si>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</si>
  <si>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</si>
  <si>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</si>
  <si>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</si>
  <si>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</si>
  <si>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</si>
  <si>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</si>
  <si>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</si>
  <si>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</si>
  <si>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</si>
  <si>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</si>
  <si>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</si>
  <si>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</si>
  <si>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</si>
  <si>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</si>
  <si>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</si>
  <si>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</si>
  <si>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</si>
  <si>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</si>
  <si>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</si>
  <si>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</si>
  <si>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</si>
  <si>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</si>
  <si>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</si>
  <si>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</si>
  <si>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</si>
  <si>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</si>
  <si>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</si>
  <si>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</si>
  <si>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</si>
  <si>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</si>
  <si>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</si>
  <si>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</si>
  <si>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</si>
  <si>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</si>
  <si>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</si>
  <si>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</si>
  <si>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</si>
  <si>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</si>
  <si>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</si>
  <si>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</si>
  <si>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</si>
  <si>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</si>
  <si>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</si>
  <si>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</si>
  <si>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</si>
  <si>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</si>
  <si>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</si>
  <si>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</si>
  <si>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</si>
  <si>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</si>
  <si>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</si>
  <si>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</si>
  <si>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</si>
  <si>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</si>
  <si>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</si>
  <si>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</si>
  <si>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</si>
  <si>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</si>
  <si>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</si>
  <si>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</si>
  <si>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</si>
  <si>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</si>
  <si>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</si>
  <si>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</si>
  <si>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</si>
  <si>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</si>
  <si>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</si>
  <si>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</si>
  <si>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</si>
  <si>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</si>
  <si>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</si>
  <si>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</si>
  <si>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</si>
  <si>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</si>
  <si>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</si>
  <si>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</si>
  <si>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</si>
  <si>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</si>
  <si>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</si>
  <si>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</si>
  <si>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</si>
  <si>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</si>
  <si>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</si>
  <si>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</si>
  <si>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</si>
  <si>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</si>
  <si>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</si>
  <si>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</si>
  <si>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</si>
  <si>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</si>
  <si>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</si>
  <si>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</si>
  <si>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</si>
  <si>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</si>
  <si>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</si>
  <si>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</si>
  <si>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</si>
  <si>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</si>
  <si>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</si>
  <si>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</si>
  <si>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</si>
  <si>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</si>
  <si>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</si>
  <si>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</si>
  <si>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</si>
  <si>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</si>
  <si>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</si>
  <si>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</si>
  <si>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</si>
  <si>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</si>
  <si>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</si>
  <si>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</si>
  <si>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</si>
  <si>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</si>
  <si>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</si>
  <si>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</si>
  <si>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</si>
  <si>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</si>
  <si>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</si>
  <si>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</si>
  <si>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</si>
  <si>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</si>
  <si>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</si>
  <si>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</si>
  <si>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</si>
  <si>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</si>
  <si>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</si>
  <si>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</si>
  <si>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</si>
  <si>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</si>
  <si>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</si>
  <si>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</si>
  <si>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</si>
  <si>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</si>
  <si>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</si>
  <si>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</si>
  <si>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</si>
  <si>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</si>
  <si>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</si>
  <si>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</si>
  <si>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</si>
  <si>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</si>
  <si>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</si>
  <si>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</si>
  <si>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</si>
  <si>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</si>
  <si>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</si>
  <si>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</si>
  <si>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</si>
  <si>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</si>
  <si>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</si>
  <si>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</si>
  <si>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</si>
  <si>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</si>
  <si>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</si>
  <si>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</si>
  <si>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</si>
  <si>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</si>
  <si>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</si>
  <si>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</si>
  <si>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</si>
  <si>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</si>
  <si>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</si>
  <si>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</si>
  <si>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</si>
  <si>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</si>
  <si>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</si>
  <si>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</si>
  <si>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</si>
  <si>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</si>
  <si>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</si>
  <si>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</si>
  <si>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</si>
  <si>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</si>
  <si>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</si>
  <si>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</si>
  <si>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</si>
  <si>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</si>
  <si>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</si>
  <si>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</si>
  <si>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</si>
  <si>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</si>
  <si>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</si>
  <si>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</si>
  <si>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</si>
  <si>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</si>
  <si>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</si>
  <si>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</si>
  <si>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</si>
  <si>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</si>
  <si>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</si>
  <si>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</si>
  <si>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</si>
  <si>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</si>
  <si>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</si>
  <si>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</si>
  <si>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</si>
  <si>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</si>
  <si>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</si>
  <si>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</si>
  <si>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</si>
  <si>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</si>
  <si>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</si>
  <si>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</si>
  <si>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</si>
  <si>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</si>
  <si>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</si>
  <si>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</si>
  <si>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</si>
  <si>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</si>
  <si>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</si>
  <si>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</si>
  <si>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</si>
  <si>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</si>
  <si>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</si>
  <si>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</si>
  <si>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</si>
  <si>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</si>
  <si>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</si>
  <si>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</si>
  <si>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</si>
  <si>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</si>
  <si>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</si>
  <si>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</si>
  <si>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</si>
  <si>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</si>
  <si>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</si>
  <si>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</si>
  <si>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</si>
  <si>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</si>
  <si>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</si>
  <si>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</si>
  <si>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</si>
  <si>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</si>
  <si>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</si>
  <si>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</si>
  <si>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</si>
  <si>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</si>
  <si>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</si>
  <si>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</si>
  <si>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</si>
  <si>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</si>
  <si>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</si>
  <si>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</si>
  <si>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</si>
  <si>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</si>
  <si>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</si>
  <si>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</si>
  <si>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</si>
  <si>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</si>
  <si>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</si>
  <si>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</si>
  <si>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</si>
  <si>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</si>
  <si>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</si>
  <si>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</si>
  <si>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</si>
  <si>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</si>
  <si>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</si>
  <si>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</si>
  <si>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</si>
  <si>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</si>
  <si>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</si>
  <si>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</si>
  <si>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</si>
  <si>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</si>
  <si>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</si>
  <si>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</si>
  <si>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</si>
  <si>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</si>
  <si>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</si>
  <si>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</si>
  <si>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</si>
  <si>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</si>
  <si>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</si>
  <si>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</si>
  <si>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</si>
  <si>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</si>
  <si>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</si>
  <si>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</si>
  <si>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</si>
  <si>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</si>
  <si>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</si>
  <si>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</si>
  <si>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</si>
  <si>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</si>
  <si>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</si>
  <si>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</si>
  <si>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</si>
  <si>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</si>
  <si>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</si>
  <si>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</si>
  <si>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</si>
  <si>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</si>
  <si>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</si>
  <si>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</si>
  <si>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</si>
  <si>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</si>
  <si>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</si>
  <si>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</si>
  <si>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</si>
  <si>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</si>
  <si>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</si>
  <si>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</si>
  <si>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</si>
  <si>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</si>
  <si>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</si>
  <si>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</si>
  <si>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</si>
  <si>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</si>
  <si>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</si>
  <si>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</si>
  <si>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</si>
  <si>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</si>
  <si>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</si>
  <si>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</si>
  <si>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</si>
  <si>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</si>
  <si>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</si>
  <si>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</si>
  <si>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</si>
  <si>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</si>
  <si>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</si>
  <si>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</si>
  <si>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</si>
  <si>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</si>
  <si>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</si>
  <si>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</si>
  <si>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</si>
  <si>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</si>
  <si>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</si>
  <si>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</si>
  <si>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</si>
  <si>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</si>
  <si>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</si>
  <si>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</si>
  <si>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</si>
  <si>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</si>
  <si>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</si>
  <si>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</si>
  <si>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</si>
  <si>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</si>
  <si>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</si>
  <si>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</si>
  <si>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</si>
  <si>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</si>
  <si>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</si>
  <si>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</si>
  <si>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</si>
  <si>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</si>
  <si>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</si>
  <si>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</si>
  <si>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</si>
  <si>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</si>
  <si>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</si>
  <si>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</si>
  <si>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</si>
  <si>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</si>
  <si>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</si>
  <si>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</si>
  <si>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</si>
  <si>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</si>
  <si>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</si>
  <si>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</si>
  <si>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</si>
  <si>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</si>
  <si>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</si>
  <si>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</si>
  <si>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</si>
  <si>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</si>
  <si>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</si>
  <si>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</si>
  <si>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</si>
  <si>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</si>
  <si>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</si>
  <si>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</si>
  <si>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</si>
  <si>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</si>
  <si>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</si>
  <si>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</si>
  <si>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</si>
  <si>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</si>
  <si>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</si>
  <si>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</si>
  <si>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</si>
  <si>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</si>
  <si>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</si>
  <si>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</si>
  <si>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</si>
  <si>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</si>
  <si>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</si>
  <si>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</si>
  <si>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</si>
  <si>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</si>
  <si>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</si>
  <si>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</si>
  <si>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</si>
  <si>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</si>
  <si>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</si>
  <si>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</si>
  <si>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</si>
  <si>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</si>
  <si>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</si>
  <si>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</si>
  <si>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</si>
  <si>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</si>
  <si>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</si>
  <si>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</si>
  <si>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</si>
  <si>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</si>
  <si>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</si>
  <si>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</si>
  <si>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</si>
  <si>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</si>
  <si>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</si>
  <si>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</si>
  <si>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</si>
  <si>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</si>
  <si>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</si>
  <si>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</si>
  <si>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</si>
  <si>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</si>
  <si>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</si>
  <si>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</si>
  <si>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</si>
  <si>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</si>
  <si>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</si>
  <si>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</si>
  <si>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</si>
  <si>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</si>
  <si>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</si>
  <si>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</si>
  <si>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</si>
  <si>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</si>
  <si>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</si>
  <si>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</si>
  <si>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</si>
  <si>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</si>
  <si>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</si>
  <si>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</si>
  <si>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</si>
  <si>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</si>
  <si>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</si>
  <si>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</si>
  <si>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</si>
  <si>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</si>
  <si>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</si>
  <si>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</si>
  <si>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</si>
  <si>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</si>
  <si>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</si>
  <si>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</si>
  <si>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</si>
  <si>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</si>
  <si>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</si>
  <si>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</si>
  <si>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</si>
  <si>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</si>
  <si>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</si>
  <si>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</si>
  <si>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</si>
  <si>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</si>
  <si>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</si>
  <si>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</si>
  <si>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</si>
  <si>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</si>
  <si>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</si>
  <si>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</si>
  <si>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</si>
  <si>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</si>
  <si>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</si>
  <si>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</si>
  <si>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</si>
  <si>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</si>
  <si>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</si>
  <si>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</si>
  <si>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</si>
  <si>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</si>
  <si>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</si>
  <si>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</si>
  <si>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</si>
  <si>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</si>
  <si>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</si>
  <si>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</si>
  <si>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</si>
  <si>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</si>
  <si>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</si>
  <si>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</si>
  <si>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</si>
  <si>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</si>
  <si>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</si>
  <si>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</si>
  <si>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</si>
  <si>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</si>
  <si>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</si>
  <si>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</si>
  <si>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</si>
  <si>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</si>
  <si>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</si>
  <si>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</si>
  <si>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</si>
  <si>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</si>
  <si>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</si>
  <si>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</si>
  <si>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</si>
  <si>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</si>
  <si>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</si>
  <si>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</si>
  <si>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</si>
  <si>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</si>
  <si>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</si>
  <si>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</si>
  <si>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</si>
  <si>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</si>
  <si>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</si>
  <si>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</si>
  <si>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</si>
  <si>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</si>
  <si>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</si>
  <si>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</si>
  <si>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</si>
  <si>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</si>
  <si>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</si>
  <si>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</si>
  <si>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</si>
  <si>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</si>
  <si>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</si>
  <si>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</si>
  <si>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</si>
  <si>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</si>
  <si>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</si>
  <si>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</si>
  <si>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</si>
  <si>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</si>
  <si>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</si>
  <si>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</si>
  <si>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</si>
  <si>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</si>
  <si>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</si>
  <si>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</si>
  <si>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</si>
  <si>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</si>
  <si>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</si>
  <si>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</si>
  <si>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</si>
  <si>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</si>
  <si>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</si>
  <si>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</si>
  <si>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</si>
  <si>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</si>
  <si>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</si>
  <si>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</si>
  <si>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</si>
  <si>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</si>
  <si>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</si>
  <si>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</si>
  <si>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</si>
  <si>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</si>
  <si>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</si>
  <si>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</si>
  <si>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</si>
  <si>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</si>
  <si>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</si>
  <si>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</si>
  <si>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</si>
  <si>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</si>
  <si>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</si>
  <si>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</si>
  <si>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</si>
  <si>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</si>
  <si>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</si>
  <si>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</si>
  <si>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</si>
  <si>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</si>
  <si>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</si>
  <si>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</si>
  <si>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</si>
  <si>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</si>
  <si>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</si>
  <si>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</si>
  <si>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</si>
  <si>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</si>
  <si>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</si>
  <si>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</si>
  <si>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</si>
  <si>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</si>
  <si>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</si>
  <si>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</si>
  <si>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</si>
  <si>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</si>
  <si>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</si>
  <si>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</si>
  <si>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</si>
  <si>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</si>
  <si>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</si>
  <si>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</si>
  <si>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</si>
  <si>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</si>
  <si>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</si>
  <si>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</si>
  <si>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</si>
  <si>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</si>
  <si>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</si>
  <si>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</si>
  <si>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</si>
  <si>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</si>
  <si>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</si>
  <si>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</si>
  <si>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</si>
  <si>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</si>
  <si>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</si>
  <si>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</si>
  <si>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</si>
  <si>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</si>
  <si>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</si>
  <si>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</si>
  <si>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</si>
  <si>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</si>
  <si>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</si>
  <si>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</si>
  <si>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</si>
  <si>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</si>
  <si>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</si>
  <si>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</si>
  <si>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</si>
  <si>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</si>
  <si>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</si>
  <si>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</si>
  <si>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</si>
  <si>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</si>
  <si>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</si>
  <si>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</si>
  <si>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</si>
  <si>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</si>
  <si>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</si>
  <si>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</si>
  <si>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</si>
  <si>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</si>
  <si>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</si>
  <si>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</si>
  <si>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</si>
  <si>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</si>
  <si>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</si>
  <si>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</si>
  <si>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</si>
  <si>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</si>
  <si>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</si>
  <si>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</si>
  <si>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</si>
  <si>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</si>
  <si>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</si>
  <si>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</si>
  <si>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</si>
  <si>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</si>
  <si>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</si>
  <si>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</si>
  <si>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</si>
  <si>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</si>
  <si>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</si>
  <si>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</si>
  <si>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</si>
  <si>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</si>
  <si>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</si>
  <si>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</si>
  <si>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</si>
  <si>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</si>
  <si>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</si>
  <si>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</si>
  <si>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</si>
  <si>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</si>
  <si>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</si>
  <si>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</si>
  <si>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</si>
  <si>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</si>
  <si>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</si>
  <si>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</si>
  <si>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</si>
  <si>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</si>
  <si>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</si>
  <si>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</si>
  <si>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</si>
  <si>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</si>
  <si>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</si>
  <si>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</si>
  <si>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</si>
  <si>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</si>
  <si>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</si>
  <si>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</si>
  <si>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</si>
  <si>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</si>
  <si>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</si>
  <si>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</si>
  <si>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</si>
  <si>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</si>
  <si>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</si>
  <si>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</si>
  <si>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</si>
  <si>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</si>
  <si>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</si>
  <si>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</si>
  <si>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</si>
  <si>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</si>
  <si>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</si>
  <si>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</si>
  <si>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</si>
  <si>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</si>
  <si>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</si>
  <si>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</si>
  <si>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</si>
  <si>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</si>
  <si>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</si>
  <si>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</si>
  <si>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</si>
  <si>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</si>
  <si>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</si>
  <si>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</si>
  <si>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</si>
  <si>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</si>
  <si>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</si>
  <si>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</si>
  <si>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</si>
  <si>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</si>
  <si>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</si>
  <si>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</si>
  <si>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</si>
  <si>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</si>
  <si>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</si>
  <si>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</si>
  <si>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</si>
  <si>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</si>
  <si>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</si>
  <si>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</si>
  <si>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</si>
  <si>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</si>
  <si>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</si>
  <si>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</si>
  <si>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</si>
  <si>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</si>
  <si>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</si>
  <si>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</si>
  <si>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</si>
  <si>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</si>
  <si>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</si>
  <si>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</si>
  <si>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</si>
  <si>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</si>
  <si>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</si>
  <si>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</si>
  <si>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</si>
  <si>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</si>
  <si>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</si>
  <si>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</si>
  <si>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</si>
  <si>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</si>
  <si>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</si>
  <si>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</si>
  <si>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</si>
  <si>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</si>
  <si>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</si>
  <si>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</si>
  <si>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</si>
  <si>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</si>
  <si>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</si>
  <si>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</si>
  <si>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</si>
  <si>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</si>
  <si>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</si>
  <si>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</si>
  <si>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</si>
  <si>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</si>
  <si>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</si>
  <si>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</si>
  <si>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</si>
  <si>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</si>
  <si>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</si>
  <si>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</si>
  <si>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</si>
  <si>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</si>
  <si>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</si>
  <si>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</si>
  <si>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</si>
  <si>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</si>
  <si>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</si>
  <si>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</si>
  <si>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</si>
  <si>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</si>
  <si>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</si>
  <si>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</si>
  <si>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</si>
  <si>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</si>
  <si>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</si>
  <si>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</si>
  <si>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</si>
  <si>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</si>
  <si>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</si>
  <si>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</si>
  <si>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</si>
  <si>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</si>
  <si>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</si>
  <si>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</si>
  <si>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</si>
  <si>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</si>
  <si>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</si>
  <si>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</si>
  <si>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</si>
  <si>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</si>
  <si>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</si>
  <si>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</si>
  <si>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</si>
  <si>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</si>
  <si>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</si>
  <si>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</si>
  <si>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</si>
  <si>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</si>
  <si>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</si>
  <si>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</si>
  <si>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</si>
  <si>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</si>
  <si>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</si>
  <si>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</si>
  <si>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</si>
  <si>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</si>
  <si>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</si>
  <si>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</si>
  <si>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</si>
  <si>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</si>
  <si>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</si>
  <si>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</si>
  <si>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</si>
  <si>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</si>
  <si>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</si>
  <si>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</si>
  <si>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</si>
  <si>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</si>
  <si>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</si>
  <si>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</si>
  <si>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</si>
  <si>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</si>
  <si>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</si>
  <si>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</si>
  <si>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</si>
  <si>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</si>
  <si>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</si>
  <si>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</si>
  <si>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</si>
  <si>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</si>
  <si>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</si>
  <si>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</si>
  <si>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</si>
  <si>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</si>
  <si>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</si>
  <si>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</si>
  <si>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</si>
  <si>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</si>
  <si>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</si>
  <si>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</si>
  <si>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</si>
  <si>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</si>
  <si>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</si>
  <si>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</si>
  <si>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</si>
  <si>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</si>
  <si>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</si>
  <si>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</si>
  <si>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</si>
  <si>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</si>
  <si>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</si>
  <si>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</si>
  <si>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</si>
  <si>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</si>
  <si>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</si>
  <si>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</si>
  <si>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</si>
  <si>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</si>
  <si>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</si>
  <si>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</si>
  <si>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</si>
  <si>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</si>
  <si>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</si>
  <si>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</si>
  <si>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</si>
  <si>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</si>
  <si>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</si>
  <si>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</si>
  <si>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</si>
  <si>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</si>
  <si>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</si>
  <si>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</si>
  <si>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</si>
  <si>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</si>
  <si>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</si>
  <si>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</si>
  <si>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</si>
  <si>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</si>
  <si>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</si>
  <si>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</si>
  <si>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</si>
  <si>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</si>
  <si>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</si>
  <si>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</si>
  <si>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</si>
  <si>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</si>
  <si>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</si>
  <si>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</si>
  <si>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</si>
  <si>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</si>
  <si>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</si>
  <si>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</si>
  <si>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</si>
  <si>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</si>
  <si>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</si>
  <si>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</si>
  <si>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</si>
  <si>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</si>
  <si>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</si>
  <si>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</si>
  <si>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</si>
  <si>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</si>
  <si>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</si>
  <si>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</si>
  <si>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</si>
  <si>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</si>
  <si>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</si>
  <si>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</si>
  <si>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</si>
  <si>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</si>
  <si>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</si>
  <si>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</si>
  <si>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</si>
  <si>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</si>
  <si>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</si>
  <si>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</si>
  <si>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</si>
  <si>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</si>
  <si>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</si>
  <si>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</si>
  <si>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</si>
  <si>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</si>
  <si>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</si>
  <si>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</si>
  <si>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</si>
  <si>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</si>
  <si>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</si>
  <si>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</si>
  <si>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</si>
  <si>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</si>
  <si>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</si>
  <si>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</si>
  <si>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</si>
  <si>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</si>
  <si>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</si>
  <si>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</si>
  <si>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</si>
  <si>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</si>
  <si>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</si>
  <si>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</si>
  <si>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</si>
  <si>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</si>
  <si>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</si>
  <si>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</si>
  <si>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</si>
  <si>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</si>
  <si>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</si>
  <si>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</si>
  <si>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</si>
  <si>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</si>
  <si>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</si>
  <si>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</si>
  <si>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</si>
  <si>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</si>
  <si>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</si>
  <si>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</si>
  <si>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</si>
  <si>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</si>
  <si>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</si>
  <si>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</si>
  <si>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</si>
  <si>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</si>
  <si>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</si>
  <si>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</si>
  <si>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</si>
  <si>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</si>
  <si>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</si>
  <si>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</si>
  <si>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</si>
  <si>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</si>
  <si>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</si>
  <si>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</si>
  <si>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</si>
  <si>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</si>
  <si>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</si>
  <si>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</si>
  <si>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</si>
  <si>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</si>
  <si>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</si>
  <si>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</si>
  <si>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</si>
  <si>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</si>
  <si>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</si>
  <si>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</si>
  <si>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</si>
  <si>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</si>
  <si>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</si>
  <si>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</si>
  <si>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</si>
  <si>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</si>
  <si>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</si>
  <si>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</si>
  <si>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</si>
  <si>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</si>
  <si>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</si>
  <si>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</si>
  <si>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</si>
  <si>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</si>
  <si>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</si>
  <si>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</si>
  <si>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</si>
  <si>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</si>
  <si>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</si>
  <si>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</si>
  <si>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</si>
  <si>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</si>
  <si>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</si>
  <si>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</si>
  <si>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</si>
  <si>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</si>
  <si>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</si>
  <si>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</si>
  <si>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</si>
  <si>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</si>
  <si>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</si>
  <si>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</si>
  <si>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</si>
  <si>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</si>
  <si>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</si>
  <si>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</si>
  <si>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</si>
  <si>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</si>
  <si>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</si>
  <si>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</si>
  <si>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</si>
  <si>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</si>
  <si>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</si>
  <si>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</si>
  <si>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</si>
  <si>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</si>
  <si>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</si>
  <si>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</si>
  <si>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</si>
  <si>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</si>
  <si>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</si>
  <si>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</si>
  <si>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</si>
  <si>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</si>
  <si>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</si>
  <si>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</si>
  <si>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</si>
  <si>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</si>
  <si>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</si>
  <si>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</si>
  <si>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</si>
  <si>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</si>
  <si>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</si>
  <si>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</si>
  <si>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</si>
  <si>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</si>
  <si>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</si>
  <si>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</si>
  <si>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</si>
  <si>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</si>
  <si>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</si>
  <si>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</si>
  <si>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</si>
  <si>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</si>
  <si>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</si>
  <si>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</si>
  <si>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</si>
  <si>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</si>
  <si>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</si>
  <si>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</si>
  <si>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</si>
  <si>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</si>
  <si>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</si>
  <si>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</si>
  <si>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</si>
  <si>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</si>
  <si>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</si>
  <si>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</si>
  <si>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</si>
  <si>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</si>
  <si>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</si>
  <si>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</si>
  <si>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</si>
  <si>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</si>
  <si>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</si>
  <si>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</si>
  <si>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</si>
  <si>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</si>
  <si>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</si>
  <si>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</si>
  <si>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</si>
  <si>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</si>
  <si>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</si>
  <si>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</si>
  <si>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</si>
  <si>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</si>
  <si>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</si>
  <si>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</si>
  <si>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</si>
  <si>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</si>
  <si>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</si>
  <si>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</si>
  <si>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</si>
  <si>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</si>
  <si>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</si>
  <si>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</si>
  <si>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</si>
  <si>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</si>
  <si>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</si>
  <si>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</si>
  <si>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</si>
  <si>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</si>
  <si>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</si>
  <si>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</si>
  <si>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</si>
  <si>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</si>
  <si>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</si>
  <si>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</si>
  <si>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</si>
  <si>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</si>
  <si>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</si>
  <si>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</si>
  <si>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</si>
  <si>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</si>
  <si>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</si>
  <si>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</si>
  <si>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</si>
  <si>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</si>
  <si>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</si>
  <si>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</si>
  <si>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</si>
  <si>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</si>
  <si>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</si>
  <si>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</si>
  <si>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</si>
  <si>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</si>
  <si>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</si>
  <si>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</si>
  <si>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</si>
  <si>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</si>
  <si>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</si>
  <si>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</si>
  <si>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</si>
  <si>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</si>
  <si>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</si>
  <si>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</si>
  <si>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</si>
  <si>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</si>
  <si>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</si>
  <si>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</si>
  <si>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</si>
  <si>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</si>
  <si>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</si>
  <si>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</si>
  <si>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</si>
  <si>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</si>
  <si>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</si>
  <si>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</si>
  <si>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</si>
  <si>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</si>
  <si>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</si>
  <si>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</si>
  <si>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</si>
  <si>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</si>
  <si>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</si>
  <si>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</si>
  <si>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</si>
  <si>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</si>
  <si>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</si>
  <si>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</si>
  <si>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</si>
  <si>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</si>
  <si>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</si>
  <si>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</si>
  <si>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</si>
  <si>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</si>
  <si>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</si>
  <si>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</si>
  <si>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</si>
  <si>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</si>
  <si>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</si>
  <si>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</si>
  <si>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</si>
  <si>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</si>
  <si>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</si>
  <si>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</si>
  <si>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</si>
  <si>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</si>
  <si>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</si>
  <si>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</si>
  <si>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</si>
  <si>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</si>
  <si>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</si>
  <si>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</si>
  <si>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</si>
  <si>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</si>
  <si>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</si>
  <si>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</si>
  <si>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</si>
  <si>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</si>
  <si>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</si>
  <si>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</si>
  <si>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</si>
  <si>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</si>
  <si>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</si>
  <si>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</si>
  <si>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</si>
  <si>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</si>
  <si>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</si>
  <si>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</si>
  <si>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</si>
  <si>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</si>
  <si>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</si>
  <si>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</si>
  <si>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</si>
  <si>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</si>
  <si>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</si>
  <si>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</si>
  <si>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</si>
  <si>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</si>
  <si>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</si>
  <si>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</si>
  <si>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</si>
  <si>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</si>
  <si>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</si>
  <si>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</si>
  <si>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</si>
  <si>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</si>
  <si>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</si>
  <si>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</si>
  <si>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</si>
  <si>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</si>
  <si>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</si>
  <si>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</si>
  <si>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</si>
  <si>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</si>
  <si>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</si>
  <si>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</si>
  <si>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</si>
  <si>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</si>
  <si>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</si>
  <si>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</si>
  <si>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</si>
  <si>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</si>
  <si>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</si>
  <si>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</si>
  <si>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</si>
  <si>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</si>
  <si>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</si>
  <si>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</si>
  <si>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</si>
  <si>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</si>
  <si>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</si>
  <si>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</si>
  <si>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</si>
  <si>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</si>
  <si>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</si>
  <si>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</si>
  <si>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</si>
  <si>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</si>
  <si>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</si>
  <si>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</si>
  <si>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</si>
  <si>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</si>
  <si>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</si>
  <si>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</si>
  <si>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</si>
  <si>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</si>
  <si>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</si>
  <si>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</si>
  <si>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</si>
  <si>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</si>
  <si>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</si>
  <si>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</si>
  <si>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</si>
  <si>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</si>
  <si>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</si>
  <si>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</si>
  <si>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</si>
  <si>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</si>
  <si>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</si>
  <si>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</si>
  <si>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</si>
  <si>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</si>
  <si>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</si>
  <si>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</si>
  <si>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</si>
  <si>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</si>
  <si>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</si>
  <si>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</si>
  <si>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</si>
  <si>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</si>
  <si>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</si>
  <si>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</si>
  <si>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</si>
  <si>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</si>
  <si>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</si>
  <si>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</si>
  <si>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</si>
  <si>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</si>
  <si>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</si>
  <si>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</si>
  <si>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</si>
  <si>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</si>
  <si>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</si>
  <si>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</si>
  <si>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</si>
  <si>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</si>
  <si>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</si>
  <si>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</si>
  <si>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</si>
  <si>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</si>
  <si>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</si>
  <si>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</si>
  <si>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</si>
  <si>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</si>
  <si>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</si>
  <si>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</si>
  <si>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</si>
  <si>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</si>
  <si>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</si>
  <si>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</si>
  <si>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</si>
  <si>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</si>
  <si>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</si>
  <si>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</si>
  <si>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</si>
  <si>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</si>
  <si>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</si>
  <si>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</si>
  <si>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</si>
  <si>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</si>
  <si>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</si>
  <si>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</si>
  <si>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</si>
  <si>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</si>
  <si>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</si>
  <si>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</si>
  <si>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</si>
  <si>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</si>
  <si>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</si>
  <si>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</si>
  <si>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</si>
  <si>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</si>
  <si>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</si>
  <si>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</si>
  <si>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</si>
  <si>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</si>
  <si>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</si>
  <si>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</si>
  <si>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</si>
  <si>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</si>
  <si>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</si>
  <si>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</si>
  <si>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</si>
  <si>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</si>
  <si>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</si>
  <si>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</si>
  <si>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</si>
  <si>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</si>
  <si>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</si>
  <si>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</si>
  <si>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</si>
  <si>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</si>
  <si>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</si>
  <si>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</si>
  <si>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</si>
  <si>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</si>
  <si>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</si>
  <si>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</si>
  <si>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</si>
  <si>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</si>
  <si>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</si>
  <si>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</si>
  <si>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</si>
  <si>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</si>
  <si>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</si>
  <si>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</si>
  <si>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</si>
  <si>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</si>
  <si>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</si>
  <si>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</si>
  <si>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</si>
  <si>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</si>
  <si>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</si>
  <si>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</si>
  <si>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</si>
  <si>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</si>
  <si>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</si>
  <si>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</si>
  <si>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</si>
  <si>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</si>
  <si>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</si>
  <si>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</si>
  <si>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</si>
  <si>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</si>
  <si>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</si>
  <si>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</si>
  <si>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</si>
  <si>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</si>
  <si>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</si>
  <si>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</si>
  <si>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</si>
  <si>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</si>
  <si>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</si>
  <si>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</si>
  <si>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</si>
  <si>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</si>
  <si>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</si>
  <si>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</si>
  <si>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</si>
  <si>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</si>
  <si>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</si>
  <si>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</si>
  <si>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</si>
  <si>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</si>
  <si>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</si>
  <si>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</si>
  <si>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</si>
  <si>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</si>
  <si>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</si>
  <si>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</si>
  <si>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</si>
  <si>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</si>
  <si>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</si>
  <si>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</si>
  <si>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</si>
  <si>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</si>
  <si>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</si>
  <si>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</si>
  <si>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</si>
  <si>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</si>
  <si>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</si>
  <si>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</si>
  <si>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</si>
  <si>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</si>
  <si>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</si>
  <si>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</si>
  <si>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</si>
  <si>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</si>
  <si>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</si>
  <si>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</si>
  <si>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</si>
  <si>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</si>
  <si>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</si>
  <si>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</si>
  <si>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</si>
  <si>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</si>
  <si>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</si>
  <si>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</si>
  <si>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</si>
  <si>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</si>
  <si>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</si>
  <si>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</si>
  <si>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</si>
  <si>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</si>
  <si>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</si>
  <si>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</si>
  <si>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</si>
  <si>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</si>
  <si>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</si>
  <si>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</si>
  <si>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</si>
  <si>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</si>
  <si>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</si>
  <si>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</si>
  <si>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</si>
  <si>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</si>
  <si>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</si>
  <si>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</si>
  <si>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</si>
  <si>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</si>
  <si>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</si>
  <si>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</si>
  <si>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</si>
  <si>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</si>
  <si>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</si>
  <si>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</si>
  <si>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</si>
  <si>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</si>
  <si>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</si>
  <si>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</si>
  <si>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</si>
  <si>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</si>
  <si>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</si>
  <si>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</si>
  <si>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</si>
  <si>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</si>
  <si>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</si>
  <si>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</si>
  <si>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</si>
  <si>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</si>
  <si>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</si>
  <si>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</si>
  <si>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</si>
  <si>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</si>
  <si>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</si>
  <si>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</si>
  <si>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</si>
  <si>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</si>
  <si>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</si>
  <si>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</si>
  <si>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</si>
  <si>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</si>
  <si>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</si>
  <si>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</si>
  <si>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</si>
  <si>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</si>
  <si>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</si>
  <si>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</si>
  <si>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</si>
  <si>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</si>
  <si>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</si>
  <si>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</si>
  <si>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</si>
  <si>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</si>
  <si>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</si>
  <si>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</si>
  <si>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</si>
  <si>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</si>
  <si>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</si>
  <si>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</si>
  <si>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</si>
  <si>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</si>
  <si>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</si>
  <si>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</si>
  <si>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</si>
  <si>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</si>
  <si>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</si>
  <si>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</si>
  <si>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</si>
  <si>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</si>
  <si>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</si>
  <si>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</si>
  <si>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</si>
  <si>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</si>
  <si>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</si>
  <si>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</si>
  <si>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</si>
  <si>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</si>
  <si>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</si>
  <si>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</si>
  <si>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</si>
  <si>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</si>
  <si>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</si>
  <si>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</si>
  <si>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</si>
  <si>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</si>
  <si>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</si>
  <si>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</si>
  <si>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</si>
  <si>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</si>
  <si>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</si>
  <si>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</si>
  <si>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</si>
  <si>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</si>
  <si>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</si>
  <si>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</si>
  <si>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</si>
  <si>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</si>
  <si>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</si>
  <si>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</si>
  <si>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</si>
  <si>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</si>
  <si>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</si>
  <si>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</si>
  <si>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</si>
  <si>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</si>
  <si>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</si>
  <si>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</si>
  <si>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</si>
  <si>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</si>
  <si>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</si>
  <si>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</si>
  <si>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</si>
  <si>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</si>
  <si>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</si>
  <si>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</si>
  <si>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</si>
  <si>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</si>
  <si>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</si>
  <si>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</si>
  <si>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</si>
  <si>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</si>
  <si>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</si>
  <si>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</si>
  <si>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</si>
  <si>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</si>
  <si>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</si>
  <si>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</si>
  <si>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</si>
  <si>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</si>
  <si>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</si>
  <si>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</si>
  <si>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</si>
  <si>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</si>
  <si>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</si>
  <si>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</si>
  <si>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</si>
  <si>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</si>
  <si>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</si>
  <si>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</si>
  <si>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</si>
  <si>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</si>
  <si>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</si>
  <si>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</si>
  <si>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</si>
  <si>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</si>
  <si>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</si>
  <si>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</si>
  <si>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</si>
  <si>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</si>
  <si>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</si>
  <si>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</si>
  <si>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</si>
  <si>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</si>
  <si>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</si>
  <si>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</si>
  <si>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</si>
  <si>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</si>
  <si>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</si>
  <si>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</si>
  <si>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</si>
  <si>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</si>
  <si>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</si>
  <si>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</si>
  <si>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</si>
  <si>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</si>
  <si>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</si>
  <si>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</si>
  <si>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</si>
  <si>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</si>
  <si>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</si>
  <si>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</si>
  <si>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</si>
  <si>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</si>
  <si>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</si>
  <si>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</si>
  <si>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</si>
  <si>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</si>
  <si>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</si>
  <si>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</si>
  <si>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</si>
  <si>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</si>
  <si>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</si>
  <si>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</si>
  <si>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</si>
  <si>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</si>
  <si>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</si>
  <si>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</si>
  <si>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</si>
  <si>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</si>
  <si>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</si>
  <si>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</si>
  <si>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</si>
  <si>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</si>
  <si>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</si>
  <si>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</si>
  <si>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</si>
  <si>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</si>
  <si>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</si>
  <si>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</si>
  <si>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</si>
  <si>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</si>
  <si>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</si>
  <si>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</si>
  <si>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</si>
  <si>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</si>
  <si>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</si>
  <si>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</si>
  <si>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</si>
  <si>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</si>
  <si>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</si>
  <si>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</si>
  <si>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</si>
  <si>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</si>
  <si>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</si>
  <si>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</si>
  <si>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</si>
  <si>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</si>
  <si>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</si>
  <si>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</si>
  <si>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</si>
  <si>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</si>
  <si>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</si>
  <si>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</si>
  <si>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</si>
  <si>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</si>
  <si>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</si>
  <si>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</si>
  <si>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</si>
  <si>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</si>
  <si>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</si>
  <si>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</si>
  <si>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</si>
  <si>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</si>
  <si>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</si>
  <si>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</si>
  <si>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</si>
  <si>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</si>
  <si>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</si>
  <si>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</si>
  <si>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</si>
  <si>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</si>
  <si>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</si>
  <si>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</si>
  <si>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</si>
  <si>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</si>
  <si>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</si>
  <si>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</si>
  <si>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</si>
  <si>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</si>
  <si>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</si>
  <si>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</si>
  <si>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</si>
  <si>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</si>
  <si>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</si>
  <si>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</si>
  <si>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</si>
  <si>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</si>
  <si>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</si>
  <si>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</si>
  <si>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</si>
  <si>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</si>
  <si>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</si>
  <si>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</si>
  <si>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</si>
  <si>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</si>
  <si>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</si>
  <si>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</si>
  <si>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</si>
  <si>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</si>
  <si>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</si>
  <si>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</si>
  <si>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</si>
  <si>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</si>
  <si>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</si>
  <si>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</si>
  <si>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</si>
  <si>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</si>
  <si>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</si>
  <si>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</si>
  <si>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</si>
  <si>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</si>
  <si>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</si>
  <si>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</si>
  <si>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</si>
  <si>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</si>
  <si>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</si>
  <si>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</si>
  <si>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</si>
  <si>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</si>
  <si>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</si>
  <si>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</si>
  <si>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</si>
  <si>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</si>
  <si>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</si>
  <si>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</si>
  <si>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</si>
  <si>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</si>
  <si>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</si>
  <si>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</si>
  <si>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</si>
  <si>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</si>
  <si>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</si>
  <si>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</si>
  <si>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</si>
  <si>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</si>
  <si>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</si>
  <si>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</si>
  <si>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</si>
  <si>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</si>
  <si>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</si>
  <si>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</si>
  <si>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</si>
  <si>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</si>
  <si>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</si>
  <si>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</si>
  <si>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</si>
  <si>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</si>
  <si>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</si>
  <si>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</si>
  <si>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</si>
  <si>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</si>
  <si>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</si>
  <si>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</si>
  <si>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</si>
  <si>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</si>
  <si>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</si>
  <si>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</si>
  <si>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</si>
  <si>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</si>
  <si>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</si>
  <si>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</si>
  <si>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</si>
  <si>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</si>
  <si>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</si>
  <si>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</si>
  <si>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</si>
  <si>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</si>
  <si>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</si>
  <si>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</si>
  <si>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</si>
  <si>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</si>
  <si>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</si>
  <si>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</si>
  <si>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</si>
  <si>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</si>
  <si>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</si>
  <si>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</si>
  <si>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</si>
  <si>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</si>
  <si>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</si>
  <si>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</si>
  <si>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</si>
  <si>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</si>
  <si>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</si>
  <si>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</si>
  <si>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</si>
  <si>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</si>
  <si>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</si>
  <si>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</si>
  <si>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</si>
  <si>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</si>
  <si>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</si>
  <si>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</si>
  <si>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</si>
  <si>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</si>
  <si>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</si>
  <si>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</si>
  <si>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</si>
  <si>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</si>
  <si>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</si>
  <si>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</si>
  <si>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</si>
  <si>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</si>
  <si>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</si>
  <si>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</si>
  <si>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</si>
  <si>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</si>
  <si>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</si>
  <si>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</si>
  <si>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</si>
  <si>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</si>
  <si>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</si>
  <si>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</si>
  <si>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</si>
  <si>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</si>
  <si>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</si>
  <si>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</si>
  <si>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</si>
  <si>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</si>
  <si>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</si>
  <si>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</si>
  <si>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</si>
  <si>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</si>
  <si>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</si>
  <si>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</si>
  <si>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</si>
  <si>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</si>
  <si>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</si>
  <si>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</si>
  <si>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</si>
  <si>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</si>
  <si>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</si>
  <si>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</si>
  <si>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</si>
  <si>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</si>
  <si>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</si>
  <si>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</si>
  <si>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</si>
  <si>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</si>
  <si>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</si>
  <si>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</si>
  <si>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</si>
  <si>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</si>
  <si>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</si>
  <si>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</si>
  <si>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</si>
  <si>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</si>
  <si>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</si>
  <si>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</si>
  <si>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</si>
  <si>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</si>
  <si>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</si>
  <si>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</si>
  <si>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</si>
  <si>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</si>
  <si>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</si>
  <si>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</si>
  <si>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</si>
  <si>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</si>
  <si>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</si>
  <si>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</si>
  <si>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</si>
  <si>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</si>
  <si>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</si>
  <si>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</si>
  <si>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</si>
  <si>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</si>
  <si>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</si>
  <si>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</si>
  <si>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</si>
  <si>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</si>
  <si>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</si>
  <si>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</si>
  <si>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</si>
  <si>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</si>
  <si>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</si>
  <si>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</si>
  <si>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</si>
  <si>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</si>
  <si>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</si>
  <si>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</si>
  <si>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</si>
  <si>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</si>
  <si>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</si>
  <si>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</si>
  <si>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</si>
  <si>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</si>
  <si>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</si>
  <si>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</si>
  <si>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</si>
  <si>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</si>
  <si>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</si>
  <si>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</si>
  <si>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</si>
  <si>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</si>
  <si>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</si>
  <si>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</si>
  <si>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</si>
  <si>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</si>
  <si>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</si>
  <si>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</si>
  <si>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</si>
  <si>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</si>
  <si>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</si>
  <si>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</si>
  <si>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</si>
  <si>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</si>
  <si>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</si>
  <si>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</si>
  <si>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</si>
  <si>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</si>
  <si>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</si>
  <si>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</si>
  <si>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</si>
  <si>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</si>
  <si>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</si>
  <si>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</si>
  <si>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</si>
  <si>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</si>
  <si>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</si>
  <si>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</si>
  <si>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</si>
  <si>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</si>
  <si>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</si>
  <si>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</si>
  <si>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</si>
  <si>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</si>
  <si>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</si>
  <si>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</si>
  <si>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</si>
  <si>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</si>
  <si>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</si>
  <si>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</si>
  <si>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</si>
  <si>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</si>
  <si>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</si>
  <si>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</si>
  <si>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</si>
  <si>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</si>
  <si>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</si>
  <si>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</si>
  <si>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</si>
  <si>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</si>
  <si>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</si>
  <si>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</si>
  <si>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</si>
  <si>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</si>
  <si>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</si>
  <si>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</si>
  <si>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</si>
  <si>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</si>
  <si>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</si>
  <si>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</si>
  <si>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</si>
  <si>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</si>
  <si>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</si>
  <si>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</si>
  <si>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</si>
  <si>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</si>
  <si>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</si>
  <si>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</si>
  <si>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</si>
  <si>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</si>
  <si>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</si>
  <si>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</si>
  <si>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</si>
  <si>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</si>
  <si>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</si>
  <si>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</si>
  <si>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</si>
  <si>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</si>
  <si>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</si>
  <si>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</si>
  <si>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</si>
  <si>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</si>
  <si>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</si>
  <si>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</si>
  <si>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</si>
  <si>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</si>
  <si>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</si>
  <si>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</si>
  <si>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</si>
  <si>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</si>
  <si>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</si>
  <si>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</si>
  <si>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</si>
  <si>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</si>
  <si>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</si>
  <si>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</si>
  <si>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</si>
  <si>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</si>
  <si>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</si>
  <si>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</si>
  <si>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</si>
  <si>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</si>
  <si>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</si>
  <si>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</si>
  <si>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</si>
  <si>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</si>
  <si>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</si>
  <si>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</si>
  <si>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</si>
  <si>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</si>
  <si>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</si>
  <si>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</si>
  <si>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</si>
  <si>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</si>
  <si>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</si>
  <si>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</si>
  <si>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</si>
  <si>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</si>
  <si>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</si>
  <si>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</si>
  <si>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</si>
  <si>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</si>
  <si>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</si>
  <si>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</si>
  <si>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</si>
  <si>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</si>
  <si>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</si>
  <si>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</si>
  <si>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</si>
  <si>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</si>
  <si>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</si>
  <si>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</si>
  <si>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</si>
  <si>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</si>
  <si>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</si>
  <si>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</si>
  <si>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</si>
  <si>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</si>
  <si>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</si>
  <si>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</si>
  <si>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</si>
  <si>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</si>
  <si>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</si>
  <si>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</si>
  <si>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</si>
  <si>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</si>
  <si>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</si>
  <si>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</si>
  <si>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</si>
  <si>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</si>
  <si>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</si>
  <si>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</si>
  <si>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</si>
  <si>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</si>
  <si>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</si>
  <si>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</si>
  <si>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</si>
  <si>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</si>
  <si>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</si>
  <si>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</si>
  <si>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</si>
  <si>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</si>
  <si>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</si>
  <si>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</si>
  <si>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</si>
  <si>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</si>
  <si>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</si>
  <si>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</si>
  <si>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</si>
  <si>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</si>
  <si>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</si>
  <si>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</si>
  <si>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</si>
  <si>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</si>
  <si>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</si>
  <si>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</si>
  <si>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</si>
  <si>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</si>
  <si>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</si>
  <si>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</si>
  <si>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</si>
  <si>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</si>
  <si>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</si>
  <si>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</si>
  <si>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</si>
  <si>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</si>
  <si>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</si>
  <si>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</si>
  <si>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</si>
  <si>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</si>
  <si>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</si>
  <si>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</si>
  <si>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</si>
  <si>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</si>
  <si>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</si>
  <si>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</si>
  <si>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</si>
  <si>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</si>
  <si>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</si>
  <si>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</si>
  <si>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</si>
  <si>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</si>
  <si>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</si>
  <si>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</si>
  <si>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</si>
  <si>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</si>
  <si>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</si>
  <si>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</si>
  <si>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</si>
  <si>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</si>
  <si>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</si>
  <si>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</si>
  <si>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</si>
  <si>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</si>
  <si>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</si>
  <si>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</si>
  <si>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</si>
  <si>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</si>
  <si>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</si>
  <si>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</si>
  <si>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</si>
  <si>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</si>
  <si>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</si>
  <si>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</si>
  <si>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</si>
  <si>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</si>
  <si>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</si>
  <si>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</si>
  <si>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</si>
  <si>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</si>
  <si>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</si>
  <si>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</si>
  <si>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</si>
  <si>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</si>
  <si>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</si>
  <si>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</si>
  <si>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</si>
  <si>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</si>
  <si>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</si>
  <si>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</si>
  <si>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</si>
  <si>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</si>
  <si>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</si>
  <si>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</si>
  <si>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</si>
  <si>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</si>
  <si>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</si>
  <si>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</si>
  <si>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</si>
  <si>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</si>
  <si>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</si>
  <si>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</si>
  <si>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</si>
  <si>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</si>
  <si>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</si>
  <si>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</si>
  <si>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</si>
  <si>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</si>
  <si>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</si>
  <si>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</si>
  <si>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</si>
  <si>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</si>
  <si>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</si>
  <si>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</si>
  <si>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</si>
  <si>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</si>
  <si>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</si>
  <si>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</si>
  <si>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</si>
  <si>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</si>
  <si>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</si>
  <si>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</si>
  <si>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</si>
  <si>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</si>
  <si>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</si>
  <si>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</si>
  <si>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</si>
  <si>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</si>
  <si>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</si>
  <si>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</si>
  <si>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</si>
  <si>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</si>
  <si>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</si>
  <si>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</si>
  <si>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</si>
  <si>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</si>
  <si>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</si>
  <si>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</si>
  <si>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</si>
  <si>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</si>
  <si>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</si>
  <si>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</si>
  <si>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</si>
  <si>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</si>
  <si>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</si>
  <si>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</si>
  <si>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</si>
  <si>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</si>
  <si>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</si>
  <si>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</si>
  <si>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</si>
  <si>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</si>
  <si>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</si>
  <si>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</si>
  <si>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</si>
  <si>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</si>
  <si>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</si>
  <si>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</si>
  <si>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</si>
  <si>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</si>
  <si>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</si>
  <si>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</si>
  <si>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</si>
  <si>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</si>
  <si>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</si>
  <si>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</si>
  <si>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</si>
  <si>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</si>
  <si>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</si>
  <si>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</si>
  <si>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</si>
  <si>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</si>
  <si>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</si>
  <si>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</si>
  <si>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</si>
  <si>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</si>
  <si>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</si>
  <si>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</si>
  <si>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</si>
  <si>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</si>
  <si>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</si>
  <si>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</si>
  <si>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</si>
  <si>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</si>
  <si>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</si>
  <si>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</si>
  <si>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</si>
  <si>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</si>
  <si>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</si>
  <si>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</si>
  <si>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</si>
  <si>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</si>
  <si>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</si>
  <si>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</si>
  <si>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</si>
  <si>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</si>
  <si>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</si>
  <si>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</si>
  <si>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</si>
  <si>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</si>
  <si>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</si>
  <si>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</si>
  <si>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</si>
  <si>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</si>
  <si>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</si>
  <si>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</si>
  <si>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</si>
  <si>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</si>
  <si>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</si>
  <si>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</si>
  <si>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</si>
  <si>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</si>
  <si>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</si>
  <si>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</si>
  <si>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</si>
  <si>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</si>
  <si>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</si>
  <si>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</si>
  <si>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</si>
  <si>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</si>
  <si>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</si>
  <si>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</si>
  <si>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</si>
  <si>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</si>
  <si>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</si>
  <si>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</si>
  <si>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</si>
  <si>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</si>
  <si>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</si>
  <si>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</si>
  <si>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</si>
  <si>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</si>
  <si>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</si>
  <si>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</si>
  <si>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</si>
  <si>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</si>
  <si>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</si>
  <si>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</si>
  <si>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</si>
  <si>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</si>
  <si>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</si>
  <si>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</si>
  <si>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</si>
  <si>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</si>
  <si>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</si>
  <si>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</si>
  <si>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</si>
  <si>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</si>
  <si>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</si>
  <si>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</si>
  <si>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</si>
  <si>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</si>
  <si>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</si>
  <si>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</si>
  <si>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</si>
  <si>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</si>
  <si>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</si>
  <si>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</si>
  <si>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</si>
  <si>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</si>
  <si>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</si>
  <si>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</si>
  <si>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</si>
  <si>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</si>
  <si>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</si>
  <si>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</si>
  <si>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</si>
  <si>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</si>
  <si>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</si>
  <si>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</si>
  <si>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</si>
  <si>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</si>
  <si>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</si>
  <si>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</si>
  <si>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</si>
  <si>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</si>
  <si>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</si>
  <si>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</si>
  <si>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</si>
  <si>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</si>
  <si>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</si>
  <si>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</si>
  <si>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</si>
  <si>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</si>
  <si>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</si>
  <si>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</si>
  <si>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</si>
  <si>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</si>
  <si>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</si>
  <si>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</si>
  <si>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</si>
  <si>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</si>
  <si>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</si>
  <si>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</si>
  <si>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</si>
  <si>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</si>
  <si>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</si>
  <si>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</si>
  <si>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</si>
  <si>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</si>
  <si>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</si>
  <si>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</si>
  <si>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</si>
  <si>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</si>
  <si>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</si>
  <si>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</si>
  <si>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</si>
  <si>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</si>
  <si>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</si>
  <si>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</si>
  <si>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</si>
  <si>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</si>
  <si>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</si>
  <si>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</si>
  <si>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</si>
  <si>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</si>
  <si>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</si>
  <si>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</si>
  <si>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</si>
  <si>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</si>
  <si>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</si>
  <si>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</si>
  <si>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</si>
  <si>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</si>
  <si>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</si>
  <si>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</si>
  <si>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</si>
  <si>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</si>
  <si>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</si>
  <si>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</si>
  <si>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</si>
  <si>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</si>
  <si>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</si>
  <si>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</si>
  <si>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</si>
  <si>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</si>
  <si>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</si>
  <si>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</si>
  <si>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</si>
  <si>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</si>
  <si>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</si>
  <si>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</si>
  <si>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</si>
  <si>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</si>
  <si>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</si>
  <si>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</si>
  <si>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</si>
  <si>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</si>
  <si>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</si>
  <si>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</si>
  <si>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</si>
  <si>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</si>
  <si>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</si>
  <si>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</si>
  <si>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</si>
  <si>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</si>
  <si>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</si>
  <si>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</si>
  <si>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</si>
  <si>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</si>
  <si>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</si>
  <si>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</si>
  <si>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</si>
  <si>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</si>
  <si>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</si>
  <si>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</si>
  <si>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</si>
  <si>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</si>
  <si>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</si>
  <si>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</si>
  <si>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</si>
  <si>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</si>
  <si>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</si>
  <si>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</si>
  <si>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</si>
  <si>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</si>
  <si>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</si>
  <si>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</si>
  <si>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</si>
  <si>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</si>
  <si>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</si>
  <si>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</si>
  <si>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</si>
  <si>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</si>
  <si>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</si>
  <si>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</si>
  <si>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</si>
  <si>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</si>
  <si>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</si>
  <si>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</si>
  <si>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</si>
  <si>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</si>
  <si>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</si>
  <si>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</si>
  <si>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</si>
  <si>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</si>
  <si>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</si>
  <si>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</si>
  <si>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</si>
  <si>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</si>
  <si>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</si>
  <si>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</si>
  <si>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</si>
  <si>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</si>
  <si>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</si>
  <si>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</si>
  <si>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</si>
  <si>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</si>
  <si>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</si>
  <si>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</si>
  <si>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</si>
  <si>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</si>
  <si>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</si>
  <si>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</si>
  <si>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</si>
  <si>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</si>
  <si>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</si>
  <si>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</si>
  <si>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</si>
  <si>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</si>
  <si>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</si>
  <si>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</si>
  <si>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</si>
  <si>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</si>
  <si>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</si>
  <si>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</si>
  <si>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</si>
  <si>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</si>
  <si>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</si>
  <si>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</si>
  <si>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</si>
  <si>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</si>
  <si>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</si>
  <si>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</si>
  <si>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</si>
  <si>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</si>
  <si>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</si>
  <si>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</si>
  <si>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</si>
  <si>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</si>
  <si>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</si>
  <si>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</si>
  <si>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</si>
  <si>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</si>
  <si>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</si>
  <si>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</si>
  <si>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</si>
  <si>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</si>
  <si>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</si>
  <si>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</si>
  <si>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</si>
  <si>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</si>
  <si>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</si>
  <si>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</si>
  <si>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</si>
  <si>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</si>
  <si>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</si>
  <si>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</si>
  <si>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</si>
  <si>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</si>
  <si>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</si>
  <si>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</si>
  <si>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</si>
  <si>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</si>
  <si>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</si>
  <si>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</si>
  <si>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</si>
  <si>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</si>
  <si>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</si>
  <si>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</si>
  <si>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</si>
  <si>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</si>
  <si>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</si>
  <si>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</si>
  <si>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</si>
  <si>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</si>
  <si>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</si>
  <si>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</si>
  <si>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</si>
  <si>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</si>
  <si>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</si>
  <si>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</si>
  <si>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</si>
  <si>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</si>
  <si>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</si>
  <si>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</si>
  <si>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</si>
  <si>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</si>
  <si>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</si>
  <si>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</si>
  <si>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</si>
  <si>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</si>
  <si>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</si>
  <si>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</si>
  <si>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</si>
  <si>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</si>
  <si>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</si>
  <si>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</si>
  <si>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</si>
  <si>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</si>
  <si>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</si>
  <si>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</si>
  <si>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</si>
  <si>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</si>
  <si>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</si>
  <si>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</si>
  <si>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</si>
  <si>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</si>
  <si>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</si>
  <si>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</si>
  <si>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</si>
  <si>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</si>
  <si>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</si>
  <si>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</si>
  <si>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</si>
  <si>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</si>
  <si>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</si>
  <si>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</si>
  <si>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</si>
  <si>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</si>
  <si>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</si>
  <si>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</si>
  <si>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</si>
  <si>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</si>
  <si>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</si>
  <si>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</si>
  <si>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</si>
  <si>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</si>
  <si>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</si>
  <si>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</si>
  <si>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</si>
  <si>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</si>
  <si>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</si>
  <si>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</si>
  <si>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</si>
  <si>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</si>
  <si>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</si>
  <si>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</si>
  <si>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</si>
  <si>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</si>
  <si>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</si>
  <si>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</si>
  <si>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</si>
  <si>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</si>
  <si>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</si>
  <si>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</si>
  <si>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</si>
  <si>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</si>
  <si>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</si>
  <si>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</si>
  <si>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</si>
  <si>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</si>
  <si>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</si>
  <si>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</si>
  <si>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</si>
  <si>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</si>
  <si>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</si>
  <si>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</si>
  <si>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</si>
  <si>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</si>
  <si>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</si>
  <si>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</si>
  <si>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</si>
  <si>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</si>
  <si>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</si>
  <si>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</si>
  <si>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</si>
  <si>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</si>
  <si>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</si>
  <si>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</si>
  <si>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</si>
  <si>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</si>
  <si>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</si>
  <si>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</si>
  <si>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</si>
  <si>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</si>
  <si>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</si>
  <si>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</si>
  <si>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</si>
  <si>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</si>
  <si>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</si>
  <si>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</si>
  <si>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</si>
  <si>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</si>
  <si>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</si>
  <si>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</si>
  <si>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</si>
  <si>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</si>
  <si>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</si>
  <si>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</si>
  <si>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</si>
  <si>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</si>
  <si>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</si>
  <si>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</si>
  <si>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</si>
  <si>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</si>
  <si>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</si>
  <si>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</si>
  <si>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</si>
  <si>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</si>
  <si>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</si>
  <si>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</si>
  <si>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</si>
  <si>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</si>
  <si>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</si>
  <si>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</si>
  <si>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</si>
  <si>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</si>
  <si>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</si>
  <si>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</si>
  <si>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</si>
  <si>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</si>
  <si>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</si>
  <si>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</si>
  <si>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</si>
  <si>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</si>
  <si>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</si>
  <si>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</si>
  <si>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</si>
  <si>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</si>
  <si>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</si>
  <si>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</si>
  <si>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</si>
  <si>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</si>
  <si>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</si>
  <si>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</si>
  <si>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</si>
  <si>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</si>
  <si>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</si>
  <si>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</si>
  <si>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</si>
  <si>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</si>
  <si>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</si>
  <si>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</si>
  <si>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</si>
  <si>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</si>
  <si>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</si>
  <si>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</si>
  <si>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</si>
  <si>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</si>
  <si>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</si>
  <si>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</si>
  <si>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</si>
  <si>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</si>
  <si>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</si>
  <si>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</si>
  <si>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</si>
  <si>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</si>
  <si>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</si>
  <si>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</si>
  <si>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</si>
  <si>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</si>
  <si>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</si>
  <si>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</si>
  <si>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</si>
  <si>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</si>
  <si>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</si>
  <si>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</si>
  <si>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</si>
  <si>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</si>
  <si>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</si>
  <si>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</si>
  <si>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</si>
  <si>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</si>
  <si>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</si>
  <si>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</si>
  <si>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</si>
  <si>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</si>
  <si>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</si>
  <si>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</si>
  <si>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</si>
  <si>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</si>
  <si>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</si>
  <si>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</si>
  <si>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</si>
  <si>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</si>
  <si>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</si>
  <si>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</si>
  <si>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</si>
  <si>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</si>
  <si>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</si>
  <si>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</si>
  <si>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</si>
  <si>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</si>
  <si>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</si>
  <si>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</si>
  <si>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</si>
  <si>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</si>
  <si>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</si>
  <si>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</si>
  <si>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</si>
  <si>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</si>
  <si>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</si>
  <si>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</si>
  <si>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</si>
  <si>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</si>
  <si>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</si>
  <si>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</si>
  <si>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</si>
  <si>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</si>
  <si>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</si>
  <si>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</si>
  <si>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</si>
  <si>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</si>
  <si>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</si>
  <si>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</si>
  <si>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</si>
  <si>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</si>
  <si>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</si>
  <si>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</si>
  <si>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</si>
  <si>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</si>
  <si>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</si>
  <si>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</si>
  <si>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</si>
  <si>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</si>
  <si>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</si>
  <si>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</si>
  <si>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</si>
  <si>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</si>
  <si>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</si>
  <si>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</si>
  <si>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</si>
  <si>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</si>
  <si>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</si>
  <si>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</si>
  <si>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</si>
  <si>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</si>
  <si>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</si>
  <si>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</si>
  <si>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</si>
  <si>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</si>
  <si>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</si>
  <si>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</si>
  <si>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</si>
  <si>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</si>
  <si>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</si>
  <si>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</si>
  <si>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</si>
  <si>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</si>
  <si>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</si>
  <si>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</si>
  <si>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</si>
  <si>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</si>
  <si>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</si>
  <si>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</si>
  <si>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</si>
  <si>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</si>
  <si>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</si>
  <si>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</si>
  <si>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</si>
  <si>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</si>
  <si>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</si>
  <si>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</si>
  <si>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</si>
  <si>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</si>
  <si>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</si>
  <si>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</si>
  <si>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</si>
  <si>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</si>
  <si>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</si>
  <si>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</si>
  <si>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</si>
  <si>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</si>
  <si>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</si>
  <si>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</si>
  <si>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</si>
  <si>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</si>
  <si>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</si>
  <si>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</si>
  <si>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</si>
  <si>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</si>
  <si>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</si>
  <si>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</si>
  <si>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</si>
  <si>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</si>
  <si>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</si>
  <si>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</si>
  <si>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</si>
  <si>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</si>
  <si>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</si>
  <si>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</si>
  <si>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</si>
  <si>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</si>
  <si>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</si>
  <si>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</si>
  <si>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</si>
  <si>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</si>
  <si>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</si>
  <si>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</si>
  <si>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</si>
  <si>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</si>
  <si>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</si>
  <si>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</si>
  <si>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</si>
  <si>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</si>
  <si>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</si>
  <si>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</si>
  <si>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</si>
  <si>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</si>
  <si>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</si>
  <si>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</si>
  <si>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</si>
  <si>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</si>
  <si>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</si>
  <si>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</si>
  <si>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</si>
  <si>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</si>
  <si>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</si>
  <si>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</si>
  <si>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</si>
  <si>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</si>
  <si>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</si>
  <si>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</si>
  <si>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</si>
  <si>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</si>
  <si>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</si>
  <si>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</si>
  <si>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</si>
  <si>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</si>
  <si>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</si>
  <si>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</si>
  <si>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</si>
  <si>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</si>
  <si>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</si>
  <si>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</si>
  <si>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</si>
  <si>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</si>
  <si>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</si>
  <si>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</si>
  <si>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</si>
  <si>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</si>
  <si>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</si>
  <si>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</si>
  <si>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</si>
  <si>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</si>
  <si>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</si>
  <si>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</si>
  <si>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</si>
  <si>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</si>
  <si>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</si>
  <si>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</si>
  <si>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</si>
  <si>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</si>
  <si>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</si>
  <si>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</si>
  <si>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</si>
  <si>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</si>
  <si>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</si>
  <si>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</si>
  <si>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</si>
  <si>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</si>
  <si>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</si>
  <si>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</si>
  <si>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</si>
  <si>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</si>
  <si>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</si>
  <si>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</si>
  <si>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</si>
  <si>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</si>
  <si>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</si>
  <si>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</si>
  <si>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</si>
  <si>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</si>
  <si>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</si>
  <si>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</si>
  <si>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</si>
  <si>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</si>
  <si>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</si>
  <si>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</si>
  <si>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</si>
  <si>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</si>
  <si>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</si>
  <si>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</si>
  <si>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</si>
  <si>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</si>
  <si>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</si>
  <si>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</si>
  <si>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</si>
  <si>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</si>
  <si>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</si>
  <si>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</si>
  <si>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</si>
  <si>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</si>
  <si>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</si>
  <si>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</si>
  <si>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</si>
  <si>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</si>
  <si>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</si>
  <si>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</si>
  <si>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</si>
  <si>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</si>
  <si>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</si>
  <si>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</si>
  <si>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</si>
  <si>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</si>
  <si>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</si>
  <si>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</si>
  <si>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</si>
  <si>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</si>
  <si>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</si>
  <si>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</si>
  <si>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</si>
  <si>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</si>
  <si>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</si>
  <si>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</si>
  <si>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</si>
  <si>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</si>
  <si>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</si>
  <si>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</si>
  <si>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</si>
  <si>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</si>
  <si>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</si>
  <si>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</si>
  <si>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</si>
  <si>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</si>
  <si>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</si>
  <si>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</si>
  <si>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</si>
  <si>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</si>
  <si>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</si>
  <si>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</si>
  <si>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</si>
  <si>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</si>
  <si>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</si>
  <si>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</si>
  <si>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</si>
  <si>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</si>
  <si>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</si>
  <si>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</si>
  <si>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</si>
  <si>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</si>
  <si>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</si>
  <si>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</si>
  <si>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</si>
  <si>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</si>
  <si>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</si>
  <si>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</si>
  <si>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</si>
  <si>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</si>
  <si>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</si>
  <si>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</si>
  <si>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</si>
  <si>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</si>
  <si>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</si>
  <si>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</si>
  <si>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</si>
  <si>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</si>
  <si>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</si>
  <si>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</si>
  <si>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</si>
  <si>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</si>
  <si>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</si>
  <si>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</si>
  <si>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</si>
  <si>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</si>
  <si>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</si>
  <si>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</si>
  <si>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</si>
  <si>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</si>
  <si>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</si>
  <si>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</si>
  <si>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</si>
  <si>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</si>
  <si>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</si>
  <si>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</si>
  <si>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</si>
  <si>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</si>
  <si>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</si>
  <si>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</si>
  <si>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</si>
  <si>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</si>
  <si>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</si>
  <si>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</si>
  <si>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</si>
  <si>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</si>
  <si>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</si>
  <si>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</si>
  <si>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</si>
  <si>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</si>
  <si>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</si>
  <si>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</si>
  <si>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</si>
  <si>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</si>
  <si>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</si>
  <si>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</si>
  <si>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</si>
  <si>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</si>
  <si>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</si>
  <si>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</si>
  <si>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</si>
  <si>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</si>
  <si>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</si>
  <si>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</si>
  <si>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</si>
  <si>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</si>
  <si>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</si>
  <si>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</si>
  <si>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</si>
  <si>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</si>
  <si>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</si>
  <si>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</si>
  <si>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</si>
  <si>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</si>
  <si>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</si>
  <si>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</si>
  <si>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</si>
  <si>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</si>
  <si>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</si>
  <si>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</si>
  <si>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</si>
  <si>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</si>
  <si>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</si>
  <si>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</si>
  <si>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</si>
  <si>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</si>
  <si>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</si>
  <si>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</si>
  <si>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</si>
  <si>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</si>
  <si>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</si>
  <si>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</si>
  <si>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</si>
  <si>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</si>
  <si>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</si>
  <si>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</si>
  <si>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</si>
  <si>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</si>
  <si>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</si>
  <si>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</si>
  <si>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</si>
  <si>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</si>
  <si>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</si>
  <si>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</si>
  <si>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</si>
  <si>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</si>
  <si>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</si>
  <si>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</si>
  <si>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</si>
  <si>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</si>
  <si>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</si>
  <si>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</si>
  <si>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</si>
  <si>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</si>
  <si>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</si>
  <si>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</si>
  <si>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</si>
  <si>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</si>
  <si>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</si>
  <si>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</si>
  <si>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</si>
  <si>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</si>
  <si>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</si>
  <si>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</si>
  <si>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</si>
  <si>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</si>
  <si>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</si>
  <si>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</si>
  <si>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</si>
  <si>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</si>
  <si>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</si>
  <si>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</si>
  <si>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</si>
  <si>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</si>
  <si>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</si>
  <si>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</si>
  <si>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</si>
  <si>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</si>
  <si>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</si>
  <si>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</si>
  <si>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</si>
  <si>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</si>
  <si>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</si>
  <si>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</si>
  <si>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</si>
  <si>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</si>
  <si>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</si>
  <si>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</si>
  <si>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</si>
  <si>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</si>
  <si>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</si>
  <si>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</si>
  <si>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</si>
  <si>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</si>
  <si>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</si>
  <si>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</si>
  <si>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</si>
  <si>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</si>
  <si>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</si>
  <si>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</si>
  <si>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</si>
  <si>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</si>
  <si>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</si>
  <si>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</si>
  <si>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</si>
  <si>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</si>
  <si>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</si>
  <si>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</si>
  <si>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</si>
  <si>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</si>
  <si>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</si>
  <si>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</si>
  <si>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</si>
  <si>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</si>
  <si>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</si>
  <si>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</si>
  <si>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</si>
  <si>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</si>
  <si>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</si>
  <si>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</si>
  <si>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</si>
  <si>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</si>
  <si>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</si>
  <si>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</si>
  <si>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</si>
  <si>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</si>
  <si>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</si>
  <si>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</si>
  <si>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</si>
  <si>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</si>
  <si>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</si>
  <si>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</si>
  <si>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</si>
  <si>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</si>
  <si>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</si>
  <si>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</si>
  <si>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</si>
  <si>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</si>
  <si>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</si>
  <si>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</si>
  <si>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</si>
  <si>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</si>
  <si>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</si>
  <si>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</si>
  <si>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</si>
  <si>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</si>
  <si>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</si>
  <si>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</si>
  <si>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</si>
  <si>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</si>
  <si>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</si>
  <si>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</si>
  <si>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</si>
  <si>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</si>
  <si>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</si>
  <si>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</si>
  <si>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</si>
  <si>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</si>
  <si>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</si>
  <si>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</si>
  <si>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</si>
  <si>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</si>
  <si>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</si>
  <si>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</si>
  <si>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</si>
  <si>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</si>
  <si>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</si>
  <si>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</si>
  <si>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</si>
  <si>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</si>
  <si>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</si>
  <si>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</si>
  <si>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</si>
  <si>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</si>
  <si>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</si>
  <si>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</si>
  <si>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</si>
  <si>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</si>
  <si>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</si>
  <si>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</si>
  <si>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</si>
  <si>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</si>
  <si>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</si>
  <si>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</si>
  <si>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</si>
  <si>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</si>
  <si>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</si>
  <si>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</si>
  <si>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</si>
  <si>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</si>
  <si>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</si>
  <si>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</si>
  <si>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</si>
  <si>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</si>
  <si>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</si>
  <si>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</si>
  <si>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</si>
  <si>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</si>
  <si>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</si>
  <si>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</si>
  <si>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</si>
  <si>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</si>
  <si>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</si>
  <si>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</si>
  <si>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</si>
  <si>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</si>
  <si>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</si>
  <si>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</si>
  <si>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</si>
  <si>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</si>
  <si>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</si>
  <si>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</si>
  <si>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</si>
  <si>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</si>
  <si>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</si>
  <si>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</si>
  <si>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</si>
  <si>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</si>
  <si>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</si>
  <si>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</si>
  <si>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</si>
  <si>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</si>
  <si>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</si>
  <si>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</si>
  <si>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</si>
  <si>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</si>
  <si>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</si>
  <si>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</si>
  <si>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</si>
  <si>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</si>
  <si>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</si>
  <si>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</si>
  <si>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</si>
  <si>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</si>
  <si>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</si>
  <si>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</si>
  <si>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</si>
  <si>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</si>
  <si>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</si>
  <si>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</si>
  <si>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</si>
  <si>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</si>
  <si>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</si>
  <si>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</si>
  <si>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</si>
  <si>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</si>
  <si>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</si>
  <si>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</si>
  <si>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</si>
  <si>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</si>
  <si>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</si>
  <si>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</si>
  <si>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</si>
  <si>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</si>
  <si>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</si>
  <si>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</si>
  <si>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</si>
  <si>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</si>
  <si>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</si>
  <si>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</si>
  <si>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</si>
  <si>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</si>
  <si>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</si>
  <si>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</si>
  <si>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</si>
  <si>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</si>
  <si>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</si>
  <si>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</si>
  <si>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</si>
  <si>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</si>
  <si>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</si>
  <si>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</si>
  <si>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</si>
  <si>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</si>
  <si>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</si>
  <si>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</si>
  <si>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</si>
  <si>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</si>
  <si>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</si>
  <si>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</si>
  <si>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</si>
  <si>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</si>
  <si>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</si>
  <si>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</si>
  <si>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</si>
  <si>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</si>
  <si>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</si>
  <si>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</si>
  <si>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</si>
  <si>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</si>
  <si>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</si>
  <si>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</si>
  <si>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</si>
  <si>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</si>
  <si>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</si>
  <si>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</si>
  <si>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</si>
  <si>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</si>
  <si>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</si>
  <si>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</si>
  <si>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</si>
  <si>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</si>
  <si>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</si>
  <si>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</si>
  <si>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</si>
  <si>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</si>
  <si>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</si>
  <si>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</si>
  <si>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</si>
  <si>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</si>
  <si>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</si>
  <si>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</si>
  <si>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</si>
  <si>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</si>
  <si>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</si>
  <si>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</si>
  <si>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</si>
  <si>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</si>
  <si>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</si>
  <si>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</si>
  <si>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</si>
  <si>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</si>
  <si>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</si>
  <si>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</si>
  <si>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</si>
  <si>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</si>
  <si>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</si>
  <si>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</si>
  <si>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</si>
  <si>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</si>
  <si>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</si>
  <si>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</si>
  <si>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</si>
  <si>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</si>
  <si>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</si>
  <si>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</si>
  <si>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</si>
  <si>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</si>
  <si>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</si>
  <si>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</si>
  <si>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</si>
  <si>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</si>
  <si>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</si>
  <si>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</si>
  <si>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</si>
  <si>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</si>
  <si>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</si>
  <si>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</si>
  <si>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</si>
  <si>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</si>
  <si>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</si>
  <si>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</si>
  <si>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</si>
  <si>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</si>
  <si>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</si>
  <si>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</si>
  <si>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</si>
  <si>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</si>
  <si>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</si>
  <si>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</si>
  <si>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</si>
  <si>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</si>
  <si>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</si>
  <si>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</si>
  <si>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</si>
  <si>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</si>
  <si>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</si>
  <si>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</si>
  <si>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</si>
  <si>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</si>
  <si>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</si>
  <si>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</si>
  <si>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</si>
  <si>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</si>
  <si>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</si>
  <si>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</si>
  <si>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</si>
  <si>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</si>
  <si>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</si>
  <si>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</si>
  <si>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</si>
  <si>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</si>
  <si>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</si>
  <si>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</si>
  <si>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</si>
  <si>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</si>
  <si>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</si>
  <si>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</si>
  <si>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</si>
  <si>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</si>
  <si>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</si>
  <si>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</si>
  <si>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</si>
  <si>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</si>
  <si>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</si>
  <si>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</si>
  <si>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</si>
  <si>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</si>
  <si>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</si>
  <si>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</si>
  <si>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</si>
  <si>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</si>
  <si>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</si>
  <si>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</si>
  <si>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</si>
  <si>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</si>
  <si>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</si>
  <si>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</si>
  <si>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</si>
  <si>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</si>
  <si>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</si>
  <si>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</si>
  <si>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</si>
  <si>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</si>
  <si>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</si>
  <si>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</si>
  <si>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</si>
  <si>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</si>
  <si>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</si>
  <si>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</si>
  <si>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</si>
  <si>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</si>
  <si>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</si>
  <si>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</si>
  <si>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</si>
  <si>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</si>
  <si>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</si>
  <si>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</si>
  <si>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</si>
  <si>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</si>
  <si>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</si>
  <si>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</si>
  <si>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</si>
  <si>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</si>
  <si>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</si>
  <si>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</si>
  <si>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</si>
  <si>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</si>
  <si>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</si>
  <si>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</si>
  <si>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</si>
  <si>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</si>
  <si>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</si>
  <si>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</si>
  <si>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</si>
  <si>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</si>
  <si>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</si>
  <si>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</si>
  <si>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</si>
  <si>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</si>
  <si>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</si>
  <si>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</si>
  <si>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</si>
  <si>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</si>
  <si>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</si>
  <si>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</si>
  <si>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</si>
  <si>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</si>
  <si>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</si>
  <si>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</si>
  <si>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</si>
  <si>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</si>
  <si>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</si>
  <si>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</si>
  <si>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</si>
  <si>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</si>
  <si>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</si>
  <si>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</si>
  <si>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</si>
  <si>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</si>
  <si>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</si>
  <si>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</si>
  <si>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</si>
  <si>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</si>
  <si>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</si>
  <si>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</si>
  <si>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</si>
  <si>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</si>
  <si>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</si>
  <si>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</si>
  <si>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</si>
  <si>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</si>
  <si>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</si>
  <si>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</si>
  <si>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</si>
  <si>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</si>
  <si>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</si>
  <si>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</si>
  <si>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</si>
  <si>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</si>
  <si>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</si>
  <si>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</si>
  <si>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</si>
  <si>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</si>
  <si>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</si>
  <si>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</si>
  <si>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</si>
  <si>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</si>
  <si>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</si>
  <si>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</si>
  <si>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</si>
  <si>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</si>
  <si>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</si>
  <si>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</si>
  <si>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</si>
  <si>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</si>
  <si>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</si>
  <si>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</si>
  <si>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</si>
  <si>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</si>
  <si>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</si>
  <si>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</si>
  <si>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</si>
  <si>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</si>
  <si>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</si>
  <si>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</si>
  <si>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</si>
  <si>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</si>
  <si>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</si>
  <si>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</si>
  <si>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</si>
  <si>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</si>
  <si>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</si>
  <si>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</si>
  <si>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</si>
  <si>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</si>
  <si>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</si>
  <si>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</si>
  <si>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</si>
  <si>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</si>
  <si>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</si>
  <si>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</si>
  <si>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</si>
  <si>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</si>
  <si>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</si>
  <si>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</si>
  <si>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</si>
  <si>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</si>
  <si>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</si>
  <si>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</si>
  <si>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</si>
  <si>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</si>
  <si>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</si>
  <si>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</si>
  <si>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</si>
  <si>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</si>
  <si>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</si>
  <si>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</si>
  <si>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</si>
  <si>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</si>
  <si>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</si>
  <si>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</si>
  <si>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</si>
  <si>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</si>
  <si>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</si>
  <si>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</si>
  <si>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</si>
  <si>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</si>
  <si>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</si>
  <si>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</si>
  <si>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</si>
  <si>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</si>
  <si>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</si>
  <si>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</si>
  <si>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</si>
  <si>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</si>
  <si>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</si>
  <si>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</si>
  <si>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</si>
  <si>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</si>
  <si>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</si>
  <si>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</si>
  <si>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</si>
  <si>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</si>
  <si>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</si>
  <si>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</si>
  <si>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</si>
  <si>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</si>
  <si>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</si>
  <si>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</si>
  <si>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</si>
  <si>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</si>
  <si>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</si>
  <si>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</si>
  <si>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</si>
  <si>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</si>
  <si>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</si>
  <si>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</si>
  <si>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</si>
  <si>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</si>
  <si>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</si>
  <si>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</si>
  <si>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</si>
  <si>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</si>
  <si>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</si>
  <si>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</si>
  <si>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</si>
  <si>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</si>
  <si>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</si>
  <si>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</si>
  <si>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</si>
  <si>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</si>
  <si>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</si>
  <si>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</si>
  <si>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</si>
  <si>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</si>
  <si>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</si>
  <si>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</si>
  <si>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</si>
  <si>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</si>
  <si>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</si>
  <si>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</si>
  <si>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</si>
  <si>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</si>
  <si>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</si>
  <si>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</si>
  <si>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</si>
  <si>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</si>
  <si>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</si>
  <si>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</si>
  <si>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</si>
  <si>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</si>
  <si>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</si>
  <si>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</si>
  <si>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</si>
  <si>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</si>
  <si>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</si>
  <si>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</si>
  <si>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</si>
  <si>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</si>
  <si>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</si>
  <si>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</si>
  <si>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</si>
  <si>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</si>
  <si>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</si>
  <si>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</si>
  <si>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</si>
  <si>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</si>
  <si>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</si>
  <si>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</si>
  <si>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</si>
  <si>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</si>
  <si>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</si>
  <si>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</si>
  <si>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</si>
  <si>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</si>
  <si>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</si>
  <si>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</si>
  <si>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</si>
  <si>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</si>
  <si>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</si>
  <si>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</si>
  <si>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</si>
  <si>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</si>
  <si>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</si>
  <si>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</si>
  <si>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</si>
  <si>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</si>
  <si>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</si>
  <si>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</si>
  <si>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</si>
  <si>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</si>
  <si>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</si>
  <si>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</si>
  <si>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</si>
  <si>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</si>
  <si>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</si>
  <si>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</si>
  <si>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</si>
  <si>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</si>
  <si>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</si>
  <si>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</si>
  <si>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</si>
  <si>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</si>
  <si>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</si>
  <si>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</si>
  <si>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</si>
  <si>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</si>
  <si>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</si>
  <si>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</si>
  <si>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</si>
  <si>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</si>
  <si>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</si>
  <si>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</si>
  <si>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</si>
  <si>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</si>
  <si>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</si>
  <si>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</si>
  <si>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</si>
  <si>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</si>
  <si>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</si>
  <si>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</si>
  <si>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</si>
  <si>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</si>
  <si>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</si>
  <si>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</si>
  <si>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</si>
  <si>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</si>
  <si>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</si>
  <si>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</si>
  <si>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</si>
  <si>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</si>
  <si>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</si>
  <si>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</si>
  <si>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</si>
  <si>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</si>
  <si>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</si>
  <si>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</si>
  <si>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</si>
  <si>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</si>
  <si>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</si>
  <si>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</si>
  <si>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</si>
  <si>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</si>
  <si>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</si>
  <si>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</si>
  <si>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</si>
  <si>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</si>
  <si>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</si>
  <si>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</si>
  <si>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</si>
  <si>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</si>
  <si>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</si>
  <si>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</si>
  <si>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</si>
  <si>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</si>
  <si>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</si>
  <si>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</si>
  <si>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</si>
  <si>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</si>
  <si>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</si>
  <si>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</si>
  <si>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</si>
  <si>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</si>
  <si>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</si>
  <si>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</si>
  <si>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</si>
  <si>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</si>
  <si>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</si>
  <si>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</si>
  <si>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</si>
  <si>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</si>
  <si>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</si>
  <si>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</si>
  <si>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</si>
  <si>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</si>
  <si>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</si>
  <si>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</si>
  <si>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</si>
  <si>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</si>
  <si>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</si>
  <si>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</si>
  <si>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</si>
  <si>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</si>
  <si>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</si>
  <si>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</si>
  <si>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</si>
  <si>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</si>
  <si>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</si>
  <si>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</si>
  <si>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</si>
  <si>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</si>
  <si>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</si>
  <si>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</si>
  <si>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</si>
  <si>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</si>
  <si>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</si>
  <si>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</si>
  <si>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</si>
  <si>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</si>
  <si>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</si>
  <si>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</si>
  <si>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</si>
  <si>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</si>
  <si>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</si>
  <si>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</si>
  <si>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</si>
  <si>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</si>
  <si>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</si>
  <si>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</si>
  <si>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</si>
  <si>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</si>
  <si>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</si>
  <si>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</si>
  <si>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</si>
  <si>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</si>
  <si>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</si>
  <si>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</si>
  <si>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</si>
  <si>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</si>
  <si>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</si>
  <si>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</si>
  <si>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</si>
  <si>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</si>
  <si>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</si>
  <si>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</si>
  <si>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</si>
  <si>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</si>
  <si>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</si>
  <si>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</si>
  <si>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</si>
  <si>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</si>
  <si>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</si>
  <si>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</si>
  <si>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</si>
  <si>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</si>
  <si>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</si>
  <si>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</si>
  <si>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</si>
  <si>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</si>
  <si>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</si>
  <si>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</si>
  <si>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</si>
  <si>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</si>
  <si>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</si>
  <si>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</si>
  <si>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</si>
  <si>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</si>
  <si>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</si>
  <si>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</si>
  <si>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</si>
  <si>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</si>
  <si>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</si>
  <si>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</si>
  <si>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</si>
  <si>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</si>
  <si>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</si>
  <si>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</si>
  <si>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</si>
  <si>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</si>
  <si>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</si>
  <si>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</si>
  <si>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</si>
  <si>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</si>
  <si>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</si>
  <si>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</si>
  <si>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</si>
  <si>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</si>
  <si>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</si>
  <si>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</si>
  <si>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</si>
  <si>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</si>
  <si>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</si>
  <si>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</si>
  <si>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</si>
  <si>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</si>
  <si>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</si>
  <si>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</si>
  <si>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</si>
  <si>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</si>
  <si>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</si>
  <si>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</si>
  <si>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</si>
  <si>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</si>
  <si>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</si>
  <si>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</si>
  <si>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</si>
  <si>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</si>
  <si>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</si>
  <si>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</si>
  <si>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</si>
  <si>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</si>
  <si>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</si>
  <si>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</si>
  <si>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</si>
  <si>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</si>
  <si>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</si>
  <si>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</si>
  <si>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</si>
  <si>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</si>
  <si>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</si>
  <si>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</si>
  <si>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</si>
  <si>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</si>
  <si>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</si>
  <si>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</si>
  <si>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</si>
  <si>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</si>
  <si>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</si>
  <si>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</si>
  <si>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</si>
  <si>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</si>
  <si>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</si>
  <si>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</si>
  <si>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</si>
  <si>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</si>
  <si>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</si>
  <si>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</si>
  <si>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</si>
  <si>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</si>
  <si>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</si>
  <si>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</si>
  <si>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</si>
  <si>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</si>
  <si>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</si>
  <si>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</si>
  <si>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</si>
  <si>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</si>
  <si>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</si>
  <si>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</si>
  <si>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</si>
  <si>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</si>
  <si>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</si>
  <si>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</si>
  <si>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</si>
  <si>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</si>
  <si>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</si>
  <si>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</si>
  <si>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</si>
  <si>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</si>
  <si>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</si>
  <si>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</si>
  <si>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</si>
  <si>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</si>
  <si>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</si>
  <si>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</si>
  <si>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</si>
  <si>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</si>
  <si>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</si>
  <si>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</si>
  <si>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</si>
  <si>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</si>
  <si>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</si>
  <si>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</si>
  <si>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</si>
  <si>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</si>
  <si>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</si>
  <si>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</si>
  <si>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</si>
  <si>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</si>
  <si>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</si>
  <si>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</si>
  <si>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</si>
  <si>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</si>
  <si>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</si>
  <si>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</si>
  <si>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</si>
  <si>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</si>
  <si>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</si>
  <si>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</si>
  <si>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</si>
  <si>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</si>
  <si>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</si>
  <si>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</si>
  <si>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</si>
  <si>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</si>
  <si>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</si>
  <si>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</si>
  <si>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</si>
  <si>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</si>
  <si>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</si>
  <si>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</si>
  <si>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</si>
  <si>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</si>
  <si>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</si>
  <si>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</si>
  <si>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</si>
  <si>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</si>
  <si>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</si>
  <si>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</si>
  <si>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</si>
  <si>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</si>
  <si>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</si>
  <si>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</si>
  <si>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</si>
  <si>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</si>
  <si>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</si>
  <si>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</si>
  <si>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</si>
  <si>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</si>
  <si>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</si>
  <si>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</si>
  <si>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</si>
  <si>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</si>
  <si>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</si>
  <si>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</si>
  <si>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</si>
  <si>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</si>
  <si>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</si>
  <si>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</si>
  <si>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</si>
  <si>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</si>
  <si>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</si>
  <si>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</si>
  <si>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</si>
  <si>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</si>
  <si>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</si>
  <si>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</si>
  <si>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</si>
  <si>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</si>
  <si>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</si>
  <si>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</si>
  <si>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</si>
  <si>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</si>
  <si>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</si>
  <si>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</si>
  <si>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</si>
  <si>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</si>
  <si>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</si>
  <si>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</si>
  <si>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</si>
  <si>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</si>
  <si>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</si>
  <si>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</si>
  <si>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</si>
  <si>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</si>
  <si>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</si>
  <si>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</si>
  <si>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</si>
  <si>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</si>
  <si>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</si>
  <si>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</si>
  <si>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</si>
  <si>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</si>
  <si>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</si>
  <si>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</si>
  <si>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</si>
  <si>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</si>
  <si>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</si>
  <si>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</si>
  <si>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</si>
  <si>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</si>
  <si>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</si>
  <si>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</si>
  <si>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</si>
  <si>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</si>
  <si>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</si>
  <si>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</si>
  <si>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</si>
  <si>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</si>
  <si>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</si>
  <si>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</si>
  <si>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</si>
  <si>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</si>
  <si>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</si>
  <si>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</si>
  <si>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</si>
  <si>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</si>
  <si>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</si>
  <si>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</si>
  <si>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</si>
  <si>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</si>
  <si>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</si>
  <si>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</si>
  <si>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</si>
  <si>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</si>
  <si>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</si>
  <si>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</si>
  <si>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</si>
  <si>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</si>
  <si>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</si>
  <si>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</si>
  <si>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</si>
  <si>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</si>
  <si>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</si>
  <si>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</si>
  <si>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</si>
  <si>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</si>
  <si>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</si>
  <si>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</si>
  <si>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</si>
  <si>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</si>
  <si>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</si>
  <si>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</si>
  <si>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</si>
  <si>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</si>
  <si>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</si>
  <si>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</si>
  <si>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</si>
  <si>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</si>
  <si>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</si>
  <si>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</si>
  <si>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</si>
  <si>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</si>
  <si>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</si>
  <si>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</si>
  <si>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</si>
  <si>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</si>
  <si>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</si>
  <si>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</si>
  <si>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</si>
  <si>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</si>
  <si>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</si>
  <si>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</si>
  <si>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</si>
  <si>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</si>
  <si>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</si>
  <si>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</si>
  <si>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</si>
  <si>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</si>
  <si>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</si>
  <si>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</si>
  <si>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</si>
  <si>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</si>
  <si>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</si>
  <si>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</si>
  <si>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</si>
  <si>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</si>
  <si>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</si>
  <si>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</si>
  <si>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</si>
  <si>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</si>
  <si>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</si>
  <si>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</si>
  <si>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</si>
  <si>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</si>
  <si>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</si>
  <si>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</si>
  <si>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</si>
  <si>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</si>
  <si>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</si>
  <si>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</si>
  <si>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</si>
  <si>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</si>
  <si>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</si>
  <si>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</si>
  <si>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</si>
  <si>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</si>
  <si>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</si>
  <si>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</si>
  <si>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</si>
  <si>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</si>
  <si>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</si>
  <si>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</si>
  <si>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</si>
  <si>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</si>
  <si>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</si>
  <si>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</si>
  <si>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</si>
  <si>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</si>
  <si>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</si>
  <si>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</si>
  <si>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</si>
  <si>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</si>
  <si>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</si>
  <si>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</si>
  <si>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</si>
  <si>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</si>
  <si>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</si>
  <si>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</si>
  <si>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</si>
  <si>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</si>
  <si>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</si>
  <si>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</si>
  <si>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</si>
  <si>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</si>
  <si>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</si>
  <si>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</si>
  <si>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</si>
  <si>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</si>
  <si>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</si>
  <si>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</si>
  <si>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</si>
  <si>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</si>
  <si>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</si>
  <si>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</si>
  <si>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</si>
  <si>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</si>
  <si>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</si>
  <si>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</si>
  <si>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</si>
  <si>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</si>
  <si>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</si>
  <si>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</si>
  <si>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</si>
  <si>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</si>
  <si>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</si>
  <si>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</si>
  <si>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</si>
  <si>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</si>
  <si>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</si>
  <si>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</si>
  <si>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</si>
  <si>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</si>
  <si>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</si>
  <si>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</si>
  <si>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</si>
  <si>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</si>
  <si>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</si>
  <si>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</si>
  <si>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</si>
  <si>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</si>
  <si>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</si>
  <si>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</si>
  <si>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</si>
  <si>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</si>
  <si>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</si>
  <si>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</si>
  <si>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</si>
  <si>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</si>
  <si>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</si>
  <si>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</si>
  <si>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</si>
  <si>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</si>
  <si>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</si>
  <si>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</si>
  <si>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</si>
  <si>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</si>
  <si>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</si>
  <si>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</si>
  <si>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</si>
  <si>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</si>
  <si>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</si>
  <si>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</si>
  <si>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</si>
  <si>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</si>
  <si>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</si>
  <si>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</si>
  <si>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</si>
  <si>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</si>
  <si>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</si>
  <si>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</si>
  <si>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</si>
  <si>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</si>
  <si>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</si>
  <si>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</si>
  <si>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</si>
  <si>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</si>
  <si>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</si>
  <si>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</si>
  <si>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</si>
  <si>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</si>
  <si>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</si>
  <si>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</si>
  <si>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</si>
  <si>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</si>
  <si>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</si>
  <si>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</si>
  <si>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</si>
  <si>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</si>
  <si>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</si>
  <si>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</si>
  <si>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</si>
  <si>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</si>
  <si>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</si>
  <si>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</si>
  <si>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</si>
  <si>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</si>
  <si>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</si>
  <si>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</si>
  <si>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</si>
  <si>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</si>
  <si>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</si>
  <si>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</si>
  <si>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</si>
  <si>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</si>
  <si>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</si>
  <si>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</si>
  <si>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</si>
  <si>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</si>
  <si>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</si>
  <si>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</si>
  <si>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</si>
  <si>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</si>
  <si>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</si>
  <si>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</si>
  <si>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</si>
  <si>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</si>
  <si>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</si>
  <si>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</si>
  <si>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</si>
  <si>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</si>
  <si>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</si>
  <si>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</si>
  <si>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</si>
  <si>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</si>
  <si>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</si>
  <si>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</si>
  <si>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</si>
  <si>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</si>
  <si>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</si>
  <si>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</si>
  <si>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</si>
  <si>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</si>
  <si>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</si>
  <si>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</si>
  <si>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</si>
  <si>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</si>
  <si>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</si>
  <si>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</si>
  <si>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</si>
  <si>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</si>
  <si>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</si>
  <si>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</si>
  <si>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</si>
  <si>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</si>
  <si>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</si>
  <si>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</si>
  <si>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</si>
  <si>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</si>
  <si>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</si>
  <si>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</si>
  <si>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</si>
  <si>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</si>
  <si>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</si>
  <si>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</si>
  <si>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</si>
  <si>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</si>
  <si>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</si>
  <si>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</si>
  <si>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</si>
  <si>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</si>
  <si>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</si>
  <si>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</si>
  <si>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</si>
  <si>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</si>
  <si>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</si>
  <si>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</si>
  <si>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</si>
  <si>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</si>
  <si>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</si>
  <si>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</si>
  <si>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</si>
  <si>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</si>
  <si>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</si>
  <si>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</si>
  <si>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</si>
  <si>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</si>
  <si>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</si>
  <si>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</si>
  <si>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</si>
  <si>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</si>
  <si>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</si>
  <si>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</si>
  <si>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</si>
  <si>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</si>
  <si>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</si>
  <si>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</si>
  <si>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</si>
  <si>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</si>
  <si>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</si>
  <si>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</si>
  <si>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</si>
  <si>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</si>
  <si>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</si>
  <si>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</si>
  <si>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</si>
  <si>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</si>
  <si>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</si>
  <si>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</si>
  <si>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</si>
  <si>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</si>
  <si>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</si>
  <si>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</si>
  <si>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</si>
  <si>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</si>
  <si>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</si>
  <si>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</si>
  <si>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</si>
  <si>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</si>
  <si>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</si>
  <si>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</si>
  <si>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</si>
  <si>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</si>
  <si>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</si>
  <si>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</si>
  <si>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</si>
  <si>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</si>
  <si>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</si>
  <si>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</si>
  <si>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</si>
  <si>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</si>
  <si>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</si>
  <si>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</si>
  <si>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</si>
  <si>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</si>
  <si>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</si>
  <si>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</si>
  <si>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</si>
  <si>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</si>
  <si>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</si>
  <si>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</si>
  <si>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</si>
  <si>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</si>
  <si>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</si>
  <si>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</si>
  <si>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</si>
  <si>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</si>
  <si>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</si>
  <si>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</si>
  <si>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</si>
  <si>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</si>
  <si>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</si>
  <si>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</si>
  <si>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</si>
  <si>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</si>
  <si>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</si>
  <si>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</si>
  <si>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</si>
  <si>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</si>
  <si>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</si>
  <si>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</si>
  <si>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</si>
  <si>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</si>
  <si>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</si>
  <si>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</si>
  <si>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</si>
  <si>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</si>
  <si>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</si>
  <si>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</si>
  <si>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</si>
  <si>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</si>
  <si>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</si>
  <si>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</si>
  <si>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</si>
  <si>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</si>
  <si>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</si>
  <si>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</si>
  <si>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</si>
  <si>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</si>
  <si>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</si>
  <si>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</si>
  <si>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</si>
  <si>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</si>
  <si>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</si>
  <si>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</si>
  <si>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</si>
  <si>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</si>
  <si>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</si>
  <si>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</si>
  <si>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</si>
  <si>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</si>
  <si>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</si>
  <si>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</si>
  <si>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</si>
  <si>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</si>
  <si>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</si>
  <si>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</si>
  <si>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</si>
  <si>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</si>
  <si>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</si>
  <si>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</si>
  <si>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</si>
  <si>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</si>
  <si>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</si>
  <si>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</si>
  <si>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</si>
  <si>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</si>
  <si>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</si>
  <si>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</si>
  <si>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</si>
  <si>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</si>
  <si>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</si>
  <si>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</si>
  <si>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</si>
  <si>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</si>
  <si>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</si>
  <si>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</si>
  <si>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</si>
  <si>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</si>
  <si>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</si>
  <si>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</si>
  <si>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</si>
  <si>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</si>
  <si>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</si>
  <si>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</si>
  <si>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</si>
  <si>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</si>
  <si>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</si>
  <si>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</si>
  <si>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</si>
  <si>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</si>
  <si>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</si>
  <si>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</si>
  <si>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</si>
  <si>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</si>
  <si>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</si>
  <si>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</si>
  <si>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</si>
  <si>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</si>
  <si>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</si>
  <si>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</si>
  <si>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</si>
  <si>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</si>
  <si>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</si>
  <si>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</si>
  <si>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</si>
  <si>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</si>
  <si>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</si>
  <si>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</si>
  <si>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</si>
  <si>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</si>
  <si>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</si>
  <si>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</si>
  <si>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</si>
  <si>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</si>
  <si>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</si>
  <si>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</si>
  <si>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</si>
  <si>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</si>
  <si>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</si>
  <si>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</si>
  <si>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</si>
  <si>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</si>
  <si>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</si>
  <si>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</si>
  <si>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</si>
  <si>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</si>
  <si>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</si>
  <si>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</si>
  <si>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</si>
  <si>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</si>
  <si>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</si>
  <si>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</si>
  <si>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</si>
  <si>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</si>
  <si>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</si>
  <si>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</si>
  <si>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</si>
  <si>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</si>
  <si>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</si>
  <si>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</si>
  <si>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</si>
  <si>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</si>
  <si>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</si>
  <si>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</si>
  <si>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</si>
  <si>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</si>
  <si>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</si>
  <si>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</si>
  <si>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</si>
  <si>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</si>
  <si>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</si>
  <si>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</si>
  <si>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</si>
  <si>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</si>
  <si>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</si>
  <si>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</si>
  <si>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</si>
  <si>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</si>
  <si>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</si>
  <si>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</si>
  <si>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</si>
  <si>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</si>
  <si>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</si>
  <si>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</si>
  <si>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</si>
  <si>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</si>
  <si>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</si>
  <si>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</si>
  <si>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</si>
  <si>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</si>
  <si>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</si>
  <si>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</si>
  <si>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</si>
  <si>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</si>
  <si>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</si>
  <si>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</si>
  <si>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</si>
  <si>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</si>
  <si>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</si>
  <si>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</si>
  <si>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</si>
  <si>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</si>
  <si>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</si>
  <si>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</si>
  <si>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</si>
  <si>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</si>
  <si>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</si>
  <si>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</si>
  <si>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</si>
  <si>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</si>
  <si>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</si>
  <si>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</si>
  <si>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</si>
  <si>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</si>
  <si>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</si>
  <si>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</si>
  <si>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</si>
  <si>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</si>
  <si>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</si>
  <si>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</si>
  <si>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</si>
  <si>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</si>
  <si>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</si>
  <si>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</si>
  <si>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</si>
  <si>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</si>
  <si>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</si>
  <si>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</si>
  <si>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</si>
  <si>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</si>
  <si>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</si>
  <si>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</si>
  <si>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</si>
  <si>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</si>
  <si>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</si>
  <si>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</si>
  <si>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</si>
  <si>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</si>
  <si>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</si>
  <si>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</si>
  <si>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</si>
  <si>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</si>
  <si>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</si>
  <si>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</si>
  <si>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</si>
  <si>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</si>
  <si>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</si>
  <si>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</si>
  <si>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</si>
  <si>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</si>
  <si>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</si>
  <si>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</si>
  <si>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</si>
  <si>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</si>
  <si>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</si>
  <si>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</si>
  <si>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</si>
  <si>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</si>
  <si>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</si>
  <si>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</si>
  <si>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</si>
  <si>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</si>
  <si>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</si>
  <si>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</si>
  <si>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</si>
  <si>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</si>
  <si>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</si>
  <si>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</si>
  <si>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</si>
  <si>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</si>
  <si>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</si>
  <si>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</si>
  <si>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</si>
  <si>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</si>
  <si>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</si>
  <si>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</si>
  <si>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</si>
  <si>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</si>
  <si>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</si>
  <si>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</si>
  <si>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</si>
  <si>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</si>
  <si>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</si>
  <si>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</si>
  <si>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</si>
  <si>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</si>
  <si>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</si>
  <si>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</si>
  <si>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</si>
  <si>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</si>
  <si>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</si>
  <si>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</si>
  <si>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</si>
  <si>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</si>
  <si>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</si>
  <si>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</si>
  <si>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</si>
  <si>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</si>
  <si>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</si>
  <si>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</si>
  <si>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</si>
  <si>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</si>
  <si>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</si>
  <si>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</si>
  <si>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</si>
  <si>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</si>
  <si>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</si>
  <si>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</si>
  <si>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</si>
  <si>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</si>
  <si>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</si>
  <si>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</si>
  <si>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</si>
  <si>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</si>
  <si>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</si>
  <si>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</si>
  <si>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</si>
  <si>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</si>
  <si>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</si>
  <si>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</si>
  <si>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</si>
  <si>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</si>
  <si>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</si>
  <si>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</si>
  <si>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</si>
  <si>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</si>
  <si>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</si>
  <si>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</si>
  <si>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</si>
  <si>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</si>
  <si>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</si>
  <si>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</si>
  <si>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</si>
  <si>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</si>
  <si>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</si>
  <si>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</si>
  <si>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</si>
  <si>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</si>
  <si>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</si>
  <si>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</si>
  <si>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</si>
  <si>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</si>
  <si>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</si>
  <si>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</si>
  <si>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</si>
  <si>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</si>
  <si>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</si>
  <si>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</si>
  <si>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</si>
  <si>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</si>
  <si>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</si>
  <si>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</si>
  <si>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</si>
  <si>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</si>
  <si>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</si>
  <si>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</si>
  <si>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</si>
  <si>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</si>
  <si>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</si>
  <si>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</si>
  <si>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</si>
  <si>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</si>
  <si>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</si>
  <si>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</si>
  <si>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</si>
  <si>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</si>
  <si>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</si>
  <si>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</si>
  <si>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</si>
  <si>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</si>
  <si>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</si>
  <si>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</si>
  <si>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</si>
  <si>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</si>
  <si>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</si>
  <si>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</si>
  <si>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</si>
  <si>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</si>
  <si>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</si>
  <si>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</si>
  <si>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</si>
  <si>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</si>
  <si>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</si>
  <si>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</si>
  <si>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</si>
  <si>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</si>
  <si>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</si>
  <si>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</si>
  <si>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</si>
  <si>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</si>
  <si>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</si>
  <si>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</si>
  <si>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</si>
  <si>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</si>
  <si>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</si>
  <si>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</si>
  <si>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</si>
  <si>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</si>
  <si>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</si>
  <si>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</si>
  <si>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</si>
  <si>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</si>
  <si>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</si>
  <si>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</si>
  <si>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</si>
  <si>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</si>
  <si>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</si>
  <si>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</si>
  <si>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</si>
  <si>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</si>
  <si>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</si>
  <si>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</si>
  <si>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</si>
  <si>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</si>
  <si>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</si>
  <si>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</si>
  <si>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</si>
  <si>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</si>
  <si>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</si>
  <si>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</si>
  <si>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</si>
  <si>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</si>
  <si>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</si>
  <si>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</si>
  <si>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</si>
  <si>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</si>
  <si>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</si>
  <si>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</si>
  <si>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</si>
  <si>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</si>
  <si>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</si>
  <si>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</si>
  <si>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</si>
  <si>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</si>
  <si>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</si>
  <si>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</si>
  <si>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</si>
  <si>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</si>
  <si>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</si>
  <si>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</si>
  <si>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</si>
  <si>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</si>
  <si>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</si>
  <si>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</si>
  <si>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</si>
  <si>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</si>
  <si>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</si>
  <si>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</si>
  <si>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</si>
  <si>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</si>
  <si>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</si>
  <si>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</si>
  <si>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</si>
  <si>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</si>
  <si>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</si>
  <si>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</si>
  <si>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</si>
  <si>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</si>
  <si>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</si>
  <si>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</si>
  <si>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</si>
  <si>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</si>
  <si>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</si>
  <si>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</si>
  <si>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</si>
  <si>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</si>
  <si>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</si>
  <si>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</si>
  <si>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</si>
  <si>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</si>
  <si>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</si>
  <si>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</si>
  <si>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</si>
  <si>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</si>
  <si>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</si>
  <si>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</si>
  <si>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</si>
  <si>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</si>
  <si>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</si>
  <si>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</si>
  <si>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</si>
  <si>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</si>
  <si>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</si>
  <si>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</si>
  <si>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</si>
  <si>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</si>
  <si>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</si>
  <si>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</si>
  <si>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</si>
  <si>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</si>
  <si>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</si>
  <si>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</si>
  <si>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</si>
  <si>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</si>
  <si>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</si>
  <si>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</si>
  <si>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</si>
  <si>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</si>
  <si>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</si>
  <si>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</si>
  <si>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</si>
  <si>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</si>
  <si>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</si>
  <si>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</si>
  <si>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</si>
  <si>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</si>
  <si>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</si>
  <si>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</si>
  <si>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</si>
  <si>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</si>
  <si>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</si>
  <si>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</si>
  <si>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</si>
  <si>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</si>
  <si>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</si>
  <si>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</si>
  <si>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</si>
  <si>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</si>
  <si>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</si>
  <si>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</si>
  <si>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</si>
  <si>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</si>
  <si>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</si>
  <si>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</si>
  <si>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</si>
  <si>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</si>
  <si>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</si>
  <si>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</si>
  <si>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</si>
  <si>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</si>
  <si>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</si>
  <si>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</si>
  <si>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</si>
  <si>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</si>
  <si>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</si>
  <si>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</si>
  <si>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</si>
  <si>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</si>
  <si>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</si>
  <si>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</si>
  <si>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</si>
  <si>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</si>
  <si>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</si>
  <si>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</si>
  <si>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</si>
  <si>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</si>
  <si>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</si>
  <si>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</si>
  <si>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</si>
  <si>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</si>
  <si>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</si>
  <si>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</si>
  <si>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</si>
  <si>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</si>
  <si>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</si>
  <si>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</si>
  <si>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</si>
  <si>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</si>
  <si>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</si>
  <si>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</si>
  <si>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</si>
  <si>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</si>
  <si>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</si>
  <si>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</si>
  <si>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</si>
  <si>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</si>
  <si>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</si>
  <si>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</si>
  <si>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</si>
  <si>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</si>
  <si>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</si>
  <si>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</si>
  <si>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</si>
  <si>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</si>
  <si>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</si>
  <si>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</si>
  <si>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</si>
  <si>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</si>
  <si>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</si>
  <si>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</si>
  <si>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</si>
  <si>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</si>
  <si>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</si>
  <si>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</si>
  <si>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</si>
  <si>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</si>
  <si>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</si>
  <si>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</si>
  <si>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</si>
  <si>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</si>
  <si>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</si>
  <si>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</si>
  <si>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</si>
  <si>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</si>
  <si>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</si>
  <si>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</si>
  <si>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</si>
  <si>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</si>
  <si>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</si>
  <si>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</si>
  <si>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</si>
  <si>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</si>
  <si>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</si>
  <si>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</si>
  <si>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</si>
  <si>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</si>
  <si>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</si>
  <si>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</si>
  <si>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</si>
  <si>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</si>
  <si>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</si>
  <si>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</si>
  <si>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</si>
  <si>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</si>
  <si>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</si>
  <si>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</si>
  <si>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</si>
  <si>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</si>
  <si>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</si>
  <si>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</si>
  <si>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</si>
  <si>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</si>
  <si>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</si>
  <si>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</si>
  <si>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</si>
  <si>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</si>
  <si>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</si>
  <si>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</si>
  <si>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</si>
  <si>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</si>
  <si>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</si>
  <si>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</si>
  <si>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</si>
  <si>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</si>
  <si>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</si>
  <si>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</si>
  <si>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</si>
  <si>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</si>
  <si>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</si>
  <si>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</si>
  <si>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</si>
  <si>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</si>
  <si>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</si>
  <si>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</si>
  <si>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</si>
  <si>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</si>
  <si>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</si>
  <si>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</si>
  <si>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</si>
  <si>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</si>
  <si>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</si>
  <si>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</si>
  <si>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</si>
  <si>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</si>
  <si>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</si>
  <si>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</si>
  <si>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</si>
  <si>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</si>
  <si>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</si>
  <si>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</si>
  <si>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</si>
  <si>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</si>
  <si>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</si>
  <si>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</si>
  <si>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</si>
  <si>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</si>
  <si>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</si>
  <si>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</si>
  <si>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</si>
  <si>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</si>
  <si>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</si>
  <si>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</si>
  <si>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</si>
  <si>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</si>
  <si>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</si>
  <si>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</si>
  <si>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</si>
  <si>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</si>
  <si>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</si>
  <si>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</si>
  <si>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</si>
  <si>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</si>
  <si>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</si>
  <si>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</si>
  <si>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</si>
  <si>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</si>
  <si>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</si>
  <si>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</si>
  <si>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</si>
  <si>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</si>
  <si>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</si>
  <si>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</si>
  <si>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</si>
  <si>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</si>
  <si>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</si>
  <si>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</si>
  <si>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</si>
  <si>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</si>
  <si>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</si>
  <si>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</si>
  <si>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</si>
  <si>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</si>
  <si>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</si>
  <si>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</si>
  <si>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</si>
  <si>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</si>
  <si>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</si>
  <si>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</si>
  <si>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</si>
  <si>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</si>
  <si>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</si>
  <si>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</si>
  <si>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</si>
  <si>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</si>
  <si>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</si>
  <si>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</si>
  <si>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</si>
  <si>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</si>
  <si>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</si>
  <si>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</si>
  <si>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</si>
  <si>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</si>
  <si>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</si>
  <si>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</si>
  <si>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</si>
  <si>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</si>
  <si>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</si>
  <si>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</si>
  <si>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</si>
  <si>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</si>
  <si>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</si>
  <si>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</si>
  <si>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</si>
  <si>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</si>
  <si>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</si>
  <si>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</si>
  <si>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</si>
  <si>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</si>
  <si>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</si>
  <si>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</si>
  <si>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</si>
  <si>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</si>
  <si>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</si>
  <si>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</si>
  <si>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</si>
  <si>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</si>
  <si>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</si>
  <si>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</si>
  <si>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</si>
  <si>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</si>
  <si>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</si>
  <si>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</si>
  <si>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</si>
  <si>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</si>
  <si>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</si>
  <si>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</si>
  <si>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</si>
  <si>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</si>
  <si>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</si>
  <si>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</si>
  <si>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</si>
  <si>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</si>
  <si>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</si>
  <si>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</si>
  <si>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</si>
  <si>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</si>
  <si>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</si>
  <si>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</si>
  <si>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</si>
  <si>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</si>
  <si>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</si>
  <si>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</si>
  <si>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</si>
  <si>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</si>
  <si>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</si>
  <si>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</si>
  <si>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</si>
  <si>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</si>
  <si>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</si>
  <si>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</si>
  <si>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</si>
  <si>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</si>
  <si>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</si>
  <si>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</si>
  <si>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</si>
  <si>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</si>
  <si>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</si>
  <si>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</si>
  <si>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</si>
  <si>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</si>
  <si>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</si>
  <si>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</si>
  <si>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</si>
  <si>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</si>
  <si>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</si>
  <si>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</si>
  <si>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</si>
  <si>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</si>
  <si>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</si>
  <si>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</si>
  <si>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</si>
  <si>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</si>
  <si>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</si>
  <si>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</si>
  <si>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</si>
  <si>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</si>
  <si>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</si>
  <si>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</si>
  <si>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</si>
  <si>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</si>
  <si>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</si>
  <si>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</si>
  <si>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</si>
  <si>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</si>
  <si>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</si>
  <si>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</si>
  <si>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</si>
  <si>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</si>
  <si>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</si>
  <si>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</si>
  <si>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</si>
  <si>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</si>
  <si>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</si>
  <si>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</si>
  <si>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</si>
  <si>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</si>
  <si>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</si>
  <si>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</si>
  <si>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</si>
  <si>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</si>
  <si>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</si>
  <si>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</si>
  <si>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</si>
  <si>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</si>
  <si>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</si>
  <si>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</si>
  <si>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</si>
  <si>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</si>
  <si>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</si>
  <si>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</si>
  <si>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</si>
  <si>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</si>
  <si>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</si>
  <si>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</si>
  <si>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</si>
  <si>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</si>
  <si>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</si>
  <si>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</si>
  <si>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</si>
  <si>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</si>
  <si>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</si>
  <si>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</si>
  <si>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</si>
  <si>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</si>
  <si>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</si>
  <si>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</si>
  <si>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</si>
  <si>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</si>
  <si>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</si>
  <si>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</si>
  <si>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</si>
  <si>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</si>
  <si>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</si>
  <si>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</si>
  <si>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</si>
  <si>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</si>
  <si>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</si>
  <si>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</si>
  <si>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</si>
  <si>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</si>
  <si>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</si>
  <si>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</si>
  <si>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</si>
  <si>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</si>
  <si>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</si>
  <si>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</si>
  <si>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</si>
  <si>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</si>
  <si>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</si>
  <si>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</si>
  <si>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</si>
  <si>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</si>
  <si>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</si>
  <si>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</si>
  <si>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</si>
  <si>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</si>
  <si>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</si>
  <si>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</si>
  <si>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</si>
  <si>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</si>
  <si>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</si>
  <si>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</si>
  <si>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</si>
  <si>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</si>
  <si>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</si>
  <si>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</si>
  <si>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</si>
  <si>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</si>
  <si>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</si>
  <si>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</si>
  <si>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</si>
  <si>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</si>
  <si>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</si>
  <si>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</si>
  <si>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</si>
  <si>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</si>
  <si>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</si>
  <si>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</si>
  <si>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</si>
  <si>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</si>
  <si>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</si>
  <si>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</si>
  <si>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</si>
  <si>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</si>
  <si>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</si>
  <si>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</si>
  <si>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</si>
  <si>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</si>
  <si>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</si>
  <si>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</si>
  <si>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</si>
  <si>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</si>
  <si>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</si>
  <si>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</si>
  <si>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</si>
  <si>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</si>
  <si>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</si>
  <si>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</si>
  <si>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</si>
  <si>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</si>
  <si>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</si>
  <si>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</si>
  <si>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</si>
  <si>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</si>
  <si>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</si>
  <si>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</si>
  <si>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</si>
  <si>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</si>
  <si>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</si>
  <si>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</si>
  <si>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</si>
  <si>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</si>
  <si>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</si>
  <si>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</si>
  <si>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</si>
  <si>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</si>
  <si>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</si>
  <si>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</si>
  <si>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</si>
  <si>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</si>
  <si>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</si>
  <si>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</si>
  <si>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</si>
  <si>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</si>
  <si>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</si>
  <si>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</si>
  <si>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</si>
  <si>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</si>
  <si>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</si>
  <si>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</si>
  <si>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</si>
  <si>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</si>
  <si>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</si>
  <si>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</si>
  <si>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</si>
  <si>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</si>
  <si>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</si>
  <si>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</si>
  <si>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</si>
  <si>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</si>
  <si>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</si>
  <si>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</si>
  <si>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</si>
  <si>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</si>
  <si>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</si>
  <si>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</si>
  <si>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</si>
  <si>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</si>
  <si>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</si>
  <si>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</si>
  <si>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</si>
  <si>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</si>
  <si>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</si>
  <si>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</si>
  <si>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</si>
  <si>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</si>
  <si>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</si>
  <si>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</si>
  <si>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</si>
  <si>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</si>
  <si>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</si>
  <si>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</si>
  <si>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</si>
  <si>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</si>
  <si>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</si>
  <si>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</si>
  <si>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</si>
  <si>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</si>
  <si>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</si>
  <si>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</si>
  <si>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</si>
  <si>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</si>
  <si>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</si>
  <si>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</si>
  <si>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</si>
  <si>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</si>
  <si>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</si>
  <si>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</si>
  <si>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</si>
  <si>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</si>
  <si>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</si>
  <si>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</si>
  <si>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</si>
  <si>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</si>
  <si>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</si>
  <si>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</si>
  <si>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</si>
  <si>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</si>
  <si>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</si>
  <si>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</si>
  <si>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</si>
  <si>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</si>
  <si>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</si>
  <si>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</si>
  <si>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</si>
  <si>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</si>
  <si>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</si>
  <si>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</si>
  <si>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</si>
  <si>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</si>
  <si>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</si>
  <si>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</si>
  <si>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</si>
  <si>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</si>
  <si>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</si>
  <si>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</si>
  <si>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</si>
  <si>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</si>
  <si>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</si>
  <si>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</si>
  <si>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</si>
  <si>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</si>
  <si>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</si>
  <si>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</si>
  <si>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</si>
  <si>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</si>
  <si>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</si>
  <si>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</si>
  <si>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</si>
  <si>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</si>
  <si>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</si>
  <si>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</si>
  <si>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</si>
  <si>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</si>
  <si>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</si>
  <si>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</si>
  <si>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</si>
  <si>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</si>
  <si>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</si>
  <si>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</si>
  <si>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</si>
  <si>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</si>
  <si>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</si>
  <si>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</si>
  <si>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</si>
  <si>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</si>
  <si>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</si>
  <si>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</si>
  <si>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</si>
  <si>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</si>
  <si>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</si>
  <si>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</si>
  <si>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</si>
  <si>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</si>
  <si>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</si>
  <si>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</si>
  <si>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</si>
  <si>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</si>
  <si>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</si>
  <si>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</si>
  <si>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</si>
  <si>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</si>
  <si>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</si>
  <si>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</si>
  <si>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</si>
  <si>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</si>
  <si>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</si>
  <si>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</si>
  <si>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</si>
  <si>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</si>
  <si>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</si>
  <si>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</si>
  <si>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</si>
  <si>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</si>
  <si>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</si>
  <si>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</si>
  <si>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</si>
  <si>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</si>
  <si>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</si>
  <si>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</si>
  <si>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</si>
  <si>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</si>
  <si>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</si>
  <si>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</si>
  <si>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</si>
  <si>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</si>
  <si>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</si>
  <si>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</si>
  <si>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</si>
  <si>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</si>
  <si>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</si>
  <si>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</si>
  <si>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</si>
  <si>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</si>
  <si>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</si>
  <si>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</si>
  <si>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</si>
  <si>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</si>
  <si>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</si>
  <si>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</si>
  <si>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</si>
  <si>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</si>
  <si>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</si>
  <si>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</si>
  <si>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</si>
  <si>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</si>
  <si>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</si>
  <si>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</si>
  <si>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</si>
  <si>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</si>
  <si>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</si>
  <si>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</si>
  <si>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</si>
  <si>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</si>
  <si>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</si>
  <si>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</si>
  <si>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</si>
  <si>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</si>
  <si>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</si>
  <si>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</si>
  <si>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</si>
  <si>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</si>
  <si>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</si>
  <si>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</si>
  <si>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</si>
  <si>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</si>
  <si>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</si>
  <si>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</si>
  <si>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</si>
  <si>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</si>
  <si>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</si>
  <si>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</si>
  <si>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</si>
  <si>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</si>
  <si>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</si>
  <si>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</si>
  <si>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</si>
  <si>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</si>
  <si>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</si>
  <si>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</si>
  <si>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</si>
  <si>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</si>
  <si>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</si>
  <si>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</si>
  <si>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</si>
  <si>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</si>
  <si>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</si>
  <si>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</si>
  <si>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</si>
  <si>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</si>
  <si>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</si>
  <si>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</si>
  <si>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</si>
  <si>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</si>
  <si>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</si>
  <si>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</si>
  <si>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</si>
  <si>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</si>
  <si>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</si>
  <si>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</si>
  <si>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</si>
  <si>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</si>
  <si>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</si>
  <si>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</si>
  <si>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</si>
  <si>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</si>
  <si>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</si>
  <si>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</si>
  <si>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</si>
  <si>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</si>
  <si>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</si>
  <si>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</si>
  <si>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</si>
  <si>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</si>
  <si>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</si>
  <si>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</si>
  <si>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</si>
  <si>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</si>
  <si>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</si>
  <si>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</si>
  <si>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</si>
  <si>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</si>
  <si>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</si>
  <si>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</si>
  <si>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</si>
  <si>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</si>
  <si>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</si>
  <si>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</si>
  <si>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</si>
  <si>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</si>
  <si>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</si>
  <si>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</si>
  <si>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</si>
  <si>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</si>
  <si>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</si>
  <si>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</si>
  <si>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</si>
  <si>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</si>
  <si>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</si>
  <si>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</si>
  <si>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</si>
  <si>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</si>
  <si>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</si>
  <si>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</si>
  <si>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</si>
  <si>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</si>
  <si>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</si>
  <si>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</si>
  <si>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</si>
  <si>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</si>
  <si>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</si>
  <si>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</si>
  <si>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</si>
  <si>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</si>
  <si>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</si>
  <si>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</si>
  <si>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</si>
  <si>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</si>
  <si>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</si>
  <si>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</si>
  <si>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</si>
  <si>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</si>
  <si>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</si>
  <si>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</si>
  <si>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</si>
  <si>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</si>
  <si>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</si>
  <si>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</si>
  <si>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</si>
  <si>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</si>
  <si>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</si>
  <si>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</si>
  <si>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</si>
  <si>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</si>
  <si>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</si>
  <si>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</si>
  <si>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</si>
  <si>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</si>
  <si>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</si>
  <si>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</si>
  <si>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</si>
  <si>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</si>
  <si>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</si>
  <si>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</si>
  <si>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</si>
  <si>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</si>
  <si>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</si>
  <si>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</si>
  <si>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</si>
  <si>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</si>
  <si>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</si>
  <si>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</si>
  <si>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</si>
  <si>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</si>
  <si>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</si>
  <si>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</si>
  <si>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</si>
  <si>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</si>
  <si>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</si>
  <si>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</si>
  <si>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</si>
  <si>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</si>
  <si>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</si>
  <si>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</si>
  <si>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</si>
  <si>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</si>
  <si>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</si>
  <si>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</si>
  <si>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</si>
  <si>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</si>
  <si>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</si>
  <si>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</si>
  <si>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</si>
  <si>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</si>
  <si>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</si>
  <si>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</si>
  <si>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</si>
  <si>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</si>
  <si>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</si>
  <si>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</si>
  <si>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</si>
  <si>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</si>
  <si>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</si>
  <si>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</si>
  <si>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</si>
  <si>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</si>
  <si>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</si>
  <si>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</si>
  <si>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</si>
  <si>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</si>
  <si>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</si>
  <si>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</si>
  <si>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</si>
  <si>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</si>
  <si>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</si>
  <si>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</si>
  <si>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</si>
  <si>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</si>
  <si>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</si>
  <si>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</si>
  <si>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</si>
  <si>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</si>
  <si>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</si>
  <si>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</si>
  <si>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</si>
  <si>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</si>
  <si>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</si>
  <si>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</si>
  <si>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</si>
  <si>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</si>
  <si>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</si>
  <si>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</si>
  <si>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</si>
  <si>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</si>
  <si>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</si>
  <si>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</si>
  <si>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</si>
  <si>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</si>
  <si>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</si>
  <si>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</si>
  <si>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</si>
  <si>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</si>
  <si>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</si>
  <si>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</si>
  <si>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</si>
  <si>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</si>
  <si>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</si>
  <si>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</si>
  <si>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</si>
  <si>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</si>
  <si>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</si>
  <si>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</si>
  <si>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</si>
  <si>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</si>
  <si>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</si>
  <si>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</si>
  <si>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</si>
  <si>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</si>
  <si>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</si>
  <si>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</si>
  <si>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</si>
  <si>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</si>
  <si>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</si>
  <si>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</si>
  <si>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</si>
  <si>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</si>
  <si>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</si>
  <si>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</si>
  <si>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</si>
  <si>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</si>
  <si>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</si>
  <si>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</si>
  <si>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</si>
  <si>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</si>
  <si>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</si>
  <si>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</si>
  <si>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</si>
  <si>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</si>
  <si>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</si>
  <si>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</si>
  <si>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</si>
  <si>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</si>
  <si>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</si>
  <si>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</si>
  <si>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</si>
  <si>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</si>
  <si>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</si>
  <si>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</si>
  <si>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</si>
  <si>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</si>
  <si>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</si>
  <si>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</si>
  <si>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</si>
  <si>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</si>
  <si>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</si>
  <si>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</si>
  <si>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</si>
  <si>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</si>
  <si>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</si>
  <si>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</si>
  <si>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</si>
  <si>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</si>
  <si>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</si>
  <si>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</si>
  <si>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</si>
  <si>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</si>
  <si>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</si>
  <si>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</si>
  <si>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</si>
  <si>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</si>
  <si>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</si>
  <si>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</si>
  <si>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</si>
  <si>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</si>
  <si>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</si>
  <si>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</si>
  <si>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</si>
  <si>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</si>
  <si>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</si>
  <si>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</si>
  <si>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</si>
  <si>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</si>
  <si>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</si>
  <si>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</si>
  <si>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</si>
  <si>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</si>
  <si>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</si>
  <si>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</si>
  <si>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</si>
  <si>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</si>
  <si>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</si>
  <si>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</si>
  <si>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</si>
  <si>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</si>
  <si>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</si>
  <si>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</si>
  <si>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</si>
  <si>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</si>
  <si>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</si>
  <si>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</si>
  <si>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</si>
  <si>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</si>
  <si>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</si>
  <si>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</si>
  <si>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</si>
  <si>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</si>
  <si>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</si>
  <si>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</si>
  <si>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</si>
  <si>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</si>
  <si>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</si>
  <si>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</si>
  <si>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</si>
  <si>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</si>
  <si>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</si>
  <si>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</si>
  <si>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</si>
  <si>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</si>
  <si>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</si>
  <si>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</si>
  <si>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</si>
  <si>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</si>
  <si>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</si>
  <si>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</si>
  <si>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</si>
  <si>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</si>
  <si>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</si>
  <si>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</si>
  <si>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</si>
  <si>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</si>
  <si>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</si>
  <si>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</si>
  <si>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</si>
  <si>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</si>
  <si>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</si>
  <si>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</si>
  <si>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</si>
  <si>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</si>
  <si>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</si>
  <si>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</si>
  <si>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</si>
  <si>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</si>
  <si>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</si>
  <si>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</si>
  <si>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</si>
  <si>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</si>
  <si>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</si>
  <si>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</si>
  <si>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</si>
  <si>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</si>
  <si>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</si>
  <si>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</si>
  <si>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</si>
  <si>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</si>
  <si>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</si>
  <si>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</si>
  <si>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</si>
  <si>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</si>
  <si>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</si>
  <si>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</si>
  <si>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</si>
  <si>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</si>
  <si>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</si>
  <si>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</si>
  <si>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</si>
  <si>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</si>
  <si>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</si>
  <si>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</si>
  <si>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</si>
  <si>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</si>
  <si>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</si>
  <si>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</si>
  <si>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</si>
  <si>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</si>
  <si>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</si>
  <si>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</si>
  <si>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</si>
  <si>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</si>
  <si>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</si>
  <si>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</si>
  <si>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</si>
  <si>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</si>
  <si>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</si>
  <si>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</si>
  <si>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</si>
  <si>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</si>
  <si>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</si>
  <si>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</si>
  <si>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</si>
  <si>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</si>
  <si>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</si>
  <si>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</si>
  <si>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</si>
  <si>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</si>
  <si>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</si>
  <si>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</si>
  <si>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</si>
  <si>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</si>
  <si>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</si>
  <si>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</si>
  <si>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</si>
  <si>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</si>
  <si>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</si>
  <si>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</si>
  <si>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</si>
  <si>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</si>
  <si>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</si>
  <si>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</si>
  <si>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</si>
  <si>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</si>
  <si>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</si>
  <si>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</si>
  <si>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</si>
  <si>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</si>
  <si>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</si>
  <si>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</si>
  <si>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</si>
  <si>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</si>
  <si>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</si>
  <si>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</si>
  <si>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</si>
  <si>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</si>
  <si>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</si>
  <si>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</si>
  <si>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</si>
  <si>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</si>
  <si>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</si>
  <si>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</si>
  <si>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</si>
  <si>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</si>
  <si>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</si>
  <si>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</si>
  <si>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</si>
  <si>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</si>
  <si>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</si>
  <si>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</si>
  <si>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</si>
  <si>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</si>
  <si>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</si>
  <si>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</si>
  <si>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</si>
  <si>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</si>
  <si>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</si>
  <si>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</si>
  <si>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</si>
  <si>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</si>
  <si>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</si>
  <si>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</si>
  <si>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</si>
  <si>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</si>
  <si>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</si>
  <si>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</si>
  <si>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</si>
  <si>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</si>
  <si>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</si>
  <si>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</si>
  <si>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</si>
  <si>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</si>
  <si>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</si>
  <si>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</si>
  <si>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</si>
  <si>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</si>
  <si>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</si>
  <si>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</si>
  <si>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</si>
  <si>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</si>
  <si>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</si>
  <si>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</si>
  <si>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</si>
  <si>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</si>
  <si>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</si>
  <si>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</si>
  <si>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</si>
  <si>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</si>
  <si>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</si>
  <si>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</si>
  <si>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</si>
  <si>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</si>
  <si>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</si>
  <si>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</si>
  <si>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</si>
  <si>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</si>
  <si>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</si>
  <si>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</si>
  <si>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</si>
  <si>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</si>
  <si>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</si>
  <si>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</si>
  <si>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</si>
  <si>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</si>
  <si>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</si>
  <si>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</si>
  <si>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</si>
  <si>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</si>
  <si>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</si>
  <si>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</si>
  <si>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</si>
  <si>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</si>
  <si>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</si>
  <si>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</si>
  <si>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</si>
  <si>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</si>
  <si>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</si>
  <si>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</si>
  <si>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</si>
  <si>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</si>
  <si>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</si>
  <si>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</si>
  <si>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</si>
  <si>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</si>
  <si>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</si>
  <si>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</si>
  <si>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</si>
  <si>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</si>
  <si>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</si>
  <si>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</si>
  <si>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</si>
  <si>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</si>
  <si>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</si>
  <si>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</si>
  <si>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</si>
  <si>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</si>
  <si>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</si>
  <si>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</si>
  <si>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</si>
  <si>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</si>
  <si>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</si>
  <si>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</si>
  <si>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</si>
  <si>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</si>
  <si>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</si>
  <si>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</si>
  <si>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</si>
  <si>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</si>
  <si>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</si>
  <si>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</si>
  <si>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</si>
  <si>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</si>
  <si>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</si>
  <si>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</si>
  <si>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</si>
  <si>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</si>
  <si>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</si>
  <si>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</si>
  <si>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</si>
  <si>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</si>
  <si>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</si>
  <si>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</si>
  <si>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</si>
  <si>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</si>
  <si>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</si>
  <si>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</si>
  <si>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</si>
  <si>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</si>
  <si>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</si>
  <si>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</si>
  <si>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</si>
  <si>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</si>
  <si>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</si>
  <si>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</si>
  <si>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</si>
  <si>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</si>
  <si>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</si>
  <si>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</si>
  <si>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</si>
  <si>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</si>
  <si>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</si>
  <si>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</si>
  <si>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</si>
  <si>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</si>
  <si>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</si>
  <si>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</si>
  <si>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</si>
  <si>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</si>
  <si>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</si>
  <si>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</si>
  <si>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</si>
  <si>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</si>
  <si>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</si>
  <si>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</si>
  <si>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</si>
  <si>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</si>
  <si>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</si>
  <si>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</si>
  <si>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</si>
  <si>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</si>
  <si>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</si>
  <si>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</si>
  <si>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</si>
  <si>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</si>
  <si>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</si>
  <si>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</si>
  <si>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</si>
  <si>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</si>
  <si>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</si>
  <si>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</si>
  <si>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</si>
  <si>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</si>
  <si>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</si>
  <si>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</si>
  <si>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</si>
  <si>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</si>
  <si>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</si>
  <si>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</si>
  <si>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</si>
  <si>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</si>
  <si>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</si>
  <si>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</si>
  <si>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</si>
  <si>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</si>
  <si>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</si>
  <si>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</si>
  <si>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</si>
  <si>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</si>
  <si>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</si>
  <si>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</si>
  <si>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</si>
  <si>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</si>
  <si>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</si>
  <si>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</si>
  <si>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</si>
  <si>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</si>
  <si>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</si>
  <si>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</si>
  <si>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</si>
  <si>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</si>
  <si>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</si>
  <si>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</si>
  <si>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</si>
  <si>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</si>
  <si>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</si>
  <si>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</si>
  <si>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</si>
  <si>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</si>
  <si>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</si>
  <si>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</si>
  <si>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</si>
  <si>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</si>
  <si>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</si>
  <si>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</si>
  <si>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</si>
  <si>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</si>
  <si>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</si>
  <si>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</si>
  <si>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</si>
  <si>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</si>
  <si>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</si>
  <si>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</si>
  <si>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</si>
  <si>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</si>
  <si>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</si>
  <si>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</si>
  <si>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</si>
  <si>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</si>
  <si>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</si>
  <si>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</si>
  <si>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</si>
  <si>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</si>
  <si>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</si>
  <si>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</si>
  <si>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</si>
  <si>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</si>
  <si>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</si>
  <si>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</si>
  <si>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</si>
  <si>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</si>
  <si>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</si>
  <si>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</si>
  <si>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</si>
  <si>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</si>
  <si>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</si>
  <si>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</si>
  <si>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</si>
  <si>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</si>
  <si>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</si>
  <si>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</si>
  <si>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</si>
  <si>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</si>
  <si>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</si>
  <si>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</si>
  <si>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</si>
  <si>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</si>
  <si>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</si>
  <si>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</si>
  <si>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</si>
  <si>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</si>
  <si>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</si>
  <si>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</si>
  <si>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</si>
  <si>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</si>
  <si>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</si>
  <si>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</si>
  <si>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</si>
  <si>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</si>
  <si>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</si>
  <si>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</si>
  <si>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</si>
  <si>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</si>
  <si>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</si>
  <si>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</si>
  <si>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</si>
  <si>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</si>
  <si>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</si>
  <si>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</si>
  <si>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</si>
  <si>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</si>
  <si>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</si>
  <si>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</si>
  <si>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</si>
  <si>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</si>
  <si>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</si>
  <si>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</si>
  <si>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</si>
  <si>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</si>
  <si>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</si>
  <si>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</si>
  <si>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</si>
  <si>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</si>
  <si>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</si>
  <si>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</si>
  <si>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</si>
  <si>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</si>
  <si>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</si>
  <si>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</si>
  <si>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</si>
  <si>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</si>
  <si>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</si>
  <si>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</si>
  <si>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</si>
  <si>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</si>
  <si>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</si>
  <si>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</si>
  <si>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</si>
  <si>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</si>
  <si>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</si>
  <si>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</si>
  <si>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</si>
  <si>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</si>
  <si>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</si>
  <si>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</si>
  <si>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</si>
  <si>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</si>
  <si>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</si>
  <si>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</si>
  <si>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</si>
  <si>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</si>
  <si>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</si>
  <si>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</si>
  <si>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</si>
  <si>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</si>
  <si>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</si>
  <si>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</si>
  <si>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</si>
  <si>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</si>
  <si>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</si>
  <si>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</si>
  <si>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</si>
  <si>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</si>
  <si>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</si>
  <si>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</si>
  <si>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</si>
  <si>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</si>
  <si>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</si>
  <si>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</si>
  <si>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</si>
  <si>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</si>
  <si>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</si>
  <si>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</si>
  <si>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</si>
  <si>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</si>
  <si>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</si>
  <si>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</si>
  <si>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</si>
  <si>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</si>
  <si>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</si>
  <si>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</si>
  <si>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</si>
  <si>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</si>
  <si>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</si>
  <si>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</si>
  <si>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</si>
  <si>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</si>
  <si>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</si>
  <si>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</si>
  <si>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</si>
  <si>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</si>
  <si>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</si>
  <si>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</si>
  <si>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</si>
  <si>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</si>
  <si>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</si>
  <si>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</si>
  <si>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</si>
  <si>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</si>
  <si>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</si>
  <si>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</si>
  <si>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</si>
  <si>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</si>
  <si>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</si>
  <si>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</si>
  <si>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</si>
  <si>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</si>
  <si>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</si>
  <si>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</si>
  <si>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</si>
  <si>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</si>
  <si>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</si>
  <si>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</si>
  <si>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</si>
  <si>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</si>
  <si>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</si>
  <si>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</si>
  <si>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</si>
  <si>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</si>
  <si>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</si>
  <si>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</si>
  <si>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</si>
  <si>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</si>
  <si>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</si>
  <si>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</si>
  <si>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</si>
  <si>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</si>
  <si>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</si>
  <si>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</si>
  <si>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</si>
  <si>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</si>
  <si>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</si>
  <si>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</si>
  <si>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</si>
  <si>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</si>
  <si>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</si>
  <si>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</si>
  <si>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</si>
  <si>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</si>
  <si>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</si>
  <si>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</si>
  <si>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</si>
  <si>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</si>
  <si>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</si>
  <si>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</si>
  <si>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</si>
  <si>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</si>
  <si>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</si>
  <si>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</si>
  <si>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</si>
  <si>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</si>
  <si>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</si>
  <si>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</si>
  <si>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</si>
  <si>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</si>
  <si>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</si>
  <si>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</si>
  <si>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</si>
  <si>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</si>
  <si>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</si>
  <si>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</si>
  <si>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</si>
  <si>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</si>
  <si>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</si>
  <si>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</si>
  <si>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</si>
  <si>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</si>
  <si>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</si>
  <si>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</si>
  <si>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</si>
  <si>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</si>
  <si>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</si>
  <si>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</si>
  <si>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</si>
  <si>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</si>
  <si>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</si>
  <si>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</si>
  <si>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</si>
  <si>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</si>
  <si>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</si>
  <si>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</si>
  <si>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</si>
  <si>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</si>
  <si>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</si>
  <si>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</si>
  <si>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</si>
  <si>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</si>
  <si>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</si>
  <si>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</si>
  <si>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</si>
  <si>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</si>
  <si>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</si>
  <si>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</si>
  <si>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</si>
  <si>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</si>
  <si>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</si>
  <si>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</si>
  <si>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</si>
  <si>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</si>
  <si>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</si>
  <si>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</si>
  <si>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</si>
  <si>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</si>
  <si>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</si>
  <si>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</si>
  <si>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</si>
  <si>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</si>
  <si>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</si>
  <si>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</si>
  <si>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</si>
  <si>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</si>
  <si>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</si>
  <si>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</si>
  <si>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</si>
  <si>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</si>
  <si>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</si>
  <si>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</si>
  <si>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</si>
  <si>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</si>
  <si>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</si>
  <si>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</si>
  <si>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</si>
  <si>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</si>
  <si>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</si>
  <si>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</si>
  <si>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</si>
  <si>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</si>
  <si>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</si>
  <si>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</si>
  <si>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</si>
  <si>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</si>
  <si>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</si>
  <si>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</si>
  <si>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</si>
  <si>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</si>
  <si>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</si>
  <si>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</si>
  <si>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</si>
  <si>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</si>
  <si>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</si>
  <si>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</si>
  <si>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</si>
  <si>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</si>
  <si>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</si>
  <si>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</si>
  <si>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</si>
  <si>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</si>
  <si>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</si>
  <si>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</si>
  <si>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</si>
  <si>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</si>
  <si>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</si>
  <si>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</si>
  <si>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</si>
  <si>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</si>
  <si>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</si>
  <si>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</si>
  <si>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</si>
  <si>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</si>
  <si>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</si>
  <si>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</si>
  <si>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</si>
  <si>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</si>
  <si>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</si>
  <si>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</si>
  <si>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</si>
  <si>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</si>
  <si>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</si>
  <si>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</si>
  <si>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</si>
  <si>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</si>
  <si>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</si>
  <si>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</si>
  <si>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</si>
  <si>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</si>
  <si>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</si>
  <si>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</si>
  <si>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</si>
  <si>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</si>
  <si>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</si>
  <si>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</si>
  <si>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</si>
  <si>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</si>
  <si>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</si>
  <si>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</si>
  <si>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</si>
  <si>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</si>
  <si>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</si>
  <si>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</si>
  <si>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</si>
  <si>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</si>
  <si>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</si>
  <si>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</si>
  <si>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</si>
  <si>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</si>
  <si>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</si>
  <si>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</si>
  <si>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</si>
  <si>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</si>
  <si>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</si>
  <si>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</si>
  <si>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</si>
  <si>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</si>
  <si>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</si>
  <si>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</si>
  <si>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</si>
  <si>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</si>
  <si>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</si>
  <si>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</si>
  <si>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</si>
  <si>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</si>
  <si>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</si>
  <si>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</si>
  <si>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</si>
  <si>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</si>
  <si>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</si>
  <si>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</si>
  <si>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</si>
  <si>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</si>
  <si>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</si>
  <si>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</si>
  <si>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</si>
  <si>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</si>
  <si>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</si>
  <si>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</si>
  <si>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</si>
  <si>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</si>
  <si>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</si>
  <si>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</si>
  <si>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</si>
  <si>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</si>
  <si>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</si>
  <si>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</si>
  <si>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</si>
  <si>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</si>
  <si>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</si>
  <si>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</si>
  <si>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</si>
  <si>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</si>
  <si>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</si>
  <si>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</si>
  <si>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</si>
  <si>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</si>
  <si>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</si>
  <si>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</si>
  <si>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</si>
  <si>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</si>
  <si>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</si>
  <si>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</si>
  <si>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</si>
  <si>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</si>
  <si>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</si>
  <si>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</si>
  <si>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</si>
  <si>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</si>
  <si>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</si>
  <si>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</si>
  <si>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</si>
  <si>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</si>
  <si>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</si>
  <si>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</si>
  <si>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</si>
  <si>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</si>
  <si>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</si>
  <si>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</si>
  <si>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</si>
  <si>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</si>
  <si>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</si>
  <si>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</si>
  <si>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</si>
  <si>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</si>
  <si>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</si>
  <si>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</si>
  <si>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</si>
  <si>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</si>
  <si>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</si>
  <si>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</si>
  <si>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</si>
  <si>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</si>
  <si>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</si>
  <si>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</si>
  <si>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</si>
  <si>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</si>
  <si>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</si>
  <si>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</si>
  <si>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</si>
  <si>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</si>
  <si>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</si>
  <si>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</si>
  <si>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</si>
  <si>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</si>
  <si>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</si>
  <si>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</si>
  <si>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</si>
  <si>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</si>
  <si>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</si>
  <si>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</si>
  <si>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</si>
  <si>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</si>
  <si>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</si>
  <si>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</si>
  <si>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</si>
  <si>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</si>
  <si>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</si>
  <si>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</si>
  <si>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</si>
  <si>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</si>
  <si>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</si>
  <si>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</si>
  <si>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</si>
  <si>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</si>
  <si>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</si>
  <si>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</si>
  <si>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</si>
  <si>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</si>
  <si>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</si>
  <si>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</si>
  <si>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</si>
  <si>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</si>
  <si>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</si>
  <si>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</si>
  <si>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</si>
  <si>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</si>
  <si>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</si>
  <si>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</si>
  <si>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</si>
  <si>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</si>
  <si>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</si>
  <si>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</si>
  <si>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</si>
  <si>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</si>
  <si>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</si>
  <si>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</si>
  <si>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</si>
  <si>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</si>
  <si>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</si>
  <si>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</si>
  <si>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</si>
  <si>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</si>
  <si>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</si>
  <si>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</si>
  <si>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</si>
  <si>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</si>
  <si>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</si>
  <si>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</si>
  <si>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</si>
  <si>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</si>
  <si>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</si>
  <si>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</si>
  <si>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</si>
  <si>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</si>
  <si>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</si>
  <si>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</si>
  <si>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</si>
  <si>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</si>
  <si>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</si>
  <si>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</si>
  <si>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</si>
  <si>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</si>
  <si>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</si>
  <si>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</si>
  <si>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</si>
  <si>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</si>
  <si>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</si>
  <si>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</si>
  <si>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</si>
  <si>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</si>
  <si>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</si>
  <si>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</si>
  <si>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</si>
  <si>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</si>
  <si>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</si>
  <si>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</si>
  <si>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</si>
  <si>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</si>
  <si>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</si>
  <si>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</si>
  <si>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</si>
  <si>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</si>
  <si>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</si>
  <si>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</si>
  <si>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</si>
  <si>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</si>
  <si>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</si>
  <si>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</si>
  <si>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</si>
  <si>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</si>
  <si>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</si>
  <si>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</si>
  <si>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</si>
  <si>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</si>
  <si>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</si>
  <si>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</si>
  <si>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</si>
  <si>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</si>
  <si>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</si>
  <si>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</si>
  <si>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</si>
  <si>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</si>
  <si>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</si>
  <si>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</si>
  <si>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</si>
  <si>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</si>
  <si>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</si>
  <si>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</si>
  <si>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</si>
  <si>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</si>
  <si>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</si>
  <si>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</si>
  <si>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</si>
  <si>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</si>
  <si>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</si>
  <si>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</si>
  <si>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</si>
  <si>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</si>
  <si>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</si>
  <si>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</si>
  <si>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</si>
  <si>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</si>
  <si>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</si>
  <si>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</si>
  <si>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</si>
  <si>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</si>
  <si>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</si>
  <si>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</si>
  <si>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</si>
  <si>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</si>
  <si>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</si>
  <si>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</si>
  <si>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</si>
  <si>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</si>
  <si>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</si>
  <si>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</si>
  <si>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</si>
  <si>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</si>
  <si>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</si>
  <si>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</si>
  <si>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</si>
  <si>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</si>
  <si>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</si>
  <si>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</si>
  <si>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</si>
  <si>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</si>
  <si>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</si>
  <si>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</si>
  <si>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</si>
  <si>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</si>
  <si>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</si>
  <si>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</si>
  <si>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</si>
  <si>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</si>
  <si>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</si>
  <si>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</si>
  <si>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</si>
  <si>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</si>
  <si>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</si>
  <si>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</si>
  <si>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</si>
  <si>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</si>
  <si>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</si>
  <si>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</si>
  <si>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</si>
  <si>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</si>
  <si>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</si>
  <si>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</si>
  <si>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</si>
  <si>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</si>
  <si>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</si>
  <si>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</si>
  <si>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</si>
  <si>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</si>
  <si>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</si>
  <si>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</si>
  <si>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</si>
  <si>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</si>
  <si>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</si>
  <si>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</si>
  <si>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</si>
  <si>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</si>
  <si>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</si>
  <si>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</si>
  <si>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</si>
  <si>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</si>
  <si>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</si>
  <si>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</si>
  <si>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</si>
  <si>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</si>
  <si>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</si>
  <si>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</si>
  <si>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</si>
  <si>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</si>
  <si>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</si>
  <si>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</si>
  <si>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</si>
  <si>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</si>
  <si>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</si>
  <si>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</si>
  <si>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</si>
  <si>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</si>
  <si>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</si>
  <si>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</si>
  <si>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</si>
  <si>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</si>
  <si>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</si>
  <si>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</si>
  <si>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</si>
  <si>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</si>
  <si>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</si>
  <si>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</si>
  <si>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</si>
  <si>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</si>
  <si>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</si>
  <si>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</si>
  <si>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</si>
  <si>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</si>
  <si>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</si>
  <si>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</si>
  <si>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</si>
  <si>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</si>
  <si>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</si>
  <si>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</si>
  <si>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</si>
  <si>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</si>
  <si>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</si>
  <si>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</si>
  <si>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</si>
  <si>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</si>
  <si>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</si>
  <si>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</si>
  <si>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</si>
  <si>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</si>
  <si>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</si>
  <si>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</si>
  <si>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</si>
  <si>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</si>
  <si>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</si>
  <si>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</si>
  <si>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</si>
  <si>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</si>
  <si>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</si>
  <si>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</si>
  <si>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</si>
  <si>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</si>
  <si>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</si>
  <si>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</si>
  <si>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</si>
  <si>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</si>
  <si>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</si>
  <si>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</si>
  <si>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</si>
  <si>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</si>
  <si>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</si>
  <si>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</si>
  <si>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</si>
  <si>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</si>
  <si>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</si>
  <si>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</si>
  <si>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</si>
  <si>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</si>
  <si>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</si>
  <si>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</si>
  <si>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</si>
  <si>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</si>
  <si>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</si>
  <si>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</si>
  <si>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</si>
  <si>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</si>
  <si>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</si>
  <si>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</si>
  <si>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</si>
  <si>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</si>
  <si>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</si>
  <si>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</si>
  <si>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</si>
  <si>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</si>
  <si>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</si>
  <si>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</si>
  <si>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</si>
  <si>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</si>
  <si>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</si>
  <si>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</si>
  <si>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</si>
  <si>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</si>
  <si>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</si>
  <si>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</si>
  <si>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</si>
  <si>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</si>
  <si>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</si>
  <si>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</si>
  <si>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</si>
  <si>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</si>
  <si>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</si>
  <si>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</si>
  <si>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</si>
  <si>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</si>
  <si>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</si>
  <si>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</si>
  <si>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</si>
  <si>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</si>
  <si>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</si>
  <si>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</si>
  <si>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</si>
  <si>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</si>
  <si>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</si>
  <si>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</si>
  <si>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</si>
  <si>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</si>
  <si>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</si>
  <si>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</si>
  <si>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</si>
  <si>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</si>
  <si>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</si>
  <si>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</si>
  <si>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</si>
  <si>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</si>
  <si>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</si>
  <si>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</si>
  <si>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</si>
  <si>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</si>
  <si>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</si>
  <si>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</si>
  <si>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</si>
  <si>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</si>
  <si>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</si>
  <si>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</si>
  <si>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</si>
  <si>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</si>
  <si>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</si>
  <si>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</si>
  <si>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</si>
  <si>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</si>
  <si>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</si>
  <si>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</si>
  <si>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</si>
  <si>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</si>
  <si>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</si>
  <si>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</si>
  <si>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</si>
  <si>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</si>
  <si>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</si>
  <si>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</si>
  <si>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</si>
  <si>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</si>
  <si>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</si>
  <si>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</si>
  <si>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</si>
  <si>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</si>
  <si>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</si>
  <si>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</si>
  <si>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</si>
  <si>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</si>
  <si>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</si>
  <si>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</si>
  <si>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</si>
  <si>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</si>
  <si>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</si>
  <si>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</si>
  <si>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</si>
  <si>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</si>
  <si>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</si>
  <si>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</si>
  <si>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</si>
  <si>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</si>
  <si>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</si>
  <si>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</si>
  <si>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</si>
  <si>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</si>
  <si>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</si>
  <si>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</si>
  <si>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</si>
  <si>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</si>
  <si>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</si>
  <si>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</si>
  <si>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</si>
  <si>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</si>
  <si>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</si>
  <si>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</si>
  <si>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</si>
  <si>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</si>
  <si>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</si>
  <si>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</si>
  <si>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</si>
  <si>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</si>
  <si>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</si>
  <si>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</si>
  <si>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</si>
  <si>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</si>
  <si>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</si>
  <si>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</si>
  <si>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</si>
  <si>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</si>
  <si>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</si>
  <si>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</si>
  <si>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</si>
  <si>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</si>
  <si>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</si>
  <si>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</si>
  <si>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</si>
  <si>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</si>
  <si>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</si>
  <si>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</si>
  <si>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</si>
  <si>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</si>
  <si>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</si>
  <si>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</si>
  <si>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</si>
  <si>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</si>
  <si>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</si>
  <si>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</si>
  <si>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</si>
  <si>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</si>
  <si>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</si>
  <si>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</si>
  <si>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</si>
  <si>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</si>
  <si>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</si>
  <si>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</si>
  <si>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</si>
  <si>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</si>
  <si>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</si>
  <si>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</si>
  <si>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</si>
  <si>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</si>
  <si>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</si>
  <si>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</si>
  <si>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</si>
  <si>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</si>
  <si>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</si>
  <si>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</si>
  <si>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</si>
  <si>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</si>
  <si>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</si>
  <si>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</si>
  <si>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</si>
  <si>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</si>
  <si>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</si>
  <si>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</si>
  <si>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</si>
  <si>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</si>
  <si>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</si>
  <si>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</si>
  <si>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</si>
  <si>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</si>
  <si>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</si>
  <si>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</si>
  <si>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</si>
  <si>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</si>
  <si>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</si>
  <si>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</si>
  <si>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</si>
  <si>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</si>
  <si>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</si>
  <si>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</si>
  <si>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</si>
  <si>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</si>
  <si>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</si>
  <si>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</si>
  <si>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</si>
  <si>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</si>
  <si>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</si>
  <si>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</si>
  <si>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</si>
  <si>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</si>
  <si>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</si>
  <si>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</si>
  <si>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</si>
  <si>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</si>
  <si>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</si>
  <si>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</si>
  <si>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</si>
  <si>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</si>
  <si>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</si>
  <si>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</si>
  <si>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</si>
  <si>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</si>
  <si>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</si>
  <si>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</si>
  <si>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</si>
  <si>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</si>
  <si>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</si>
  <si>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</si>
  <si>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</si>
  <si>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</si>
  <si>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</si>
  <si>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</si>
  <si>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</si>
  <si>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</si>
  <si>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</si>
  <si>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</si>
  <si>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</si>
  <si>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</si>
  <si>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</si>
  <si>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</si>
  <si>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</si>
  <si>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</si>
  <si>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</si>
  <si>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</si>
  <si>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</si>
  <si>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</si>
  <si>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</si>
  <si>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</si>
  <si>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</si>
  <si>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</si>
  <si>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</si>
  <si>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</si>
  <si>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</si>
  <si>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</si>
  <si>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</si>
  <si>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</si>
  <si>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</si>
  <si>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</si>
  <si>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</si>
  <si>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</si>
  <si>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</si>
  <si>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</si>
  <si>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</si>
  <si>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</si>
  <si>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</si>
  <si>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</si>
  <si>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</si>
  <si>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</si>
  <si>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</si>
  <si>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</si>
  <si>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</si>
  <si>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</si>
  <si>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</si>
  <si>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</si>
  <si>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</si>
  <si>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</si>
  <si>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</si>
  <si>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</si>
  <si>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</si>
  <si>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</si>
  <si>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</si>
  <si>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</si>
  <si>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</si>
  <si>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</si>
  <si>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</si>
  <si>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</si>
  <si>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</si>
  <si>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</si>
  <si>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</si>
  <si>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</si>
  <si>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</si>
  <si>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</si>
  <si>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</si>
  <si>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</si>
  <si>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</si>
  <si>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</si>
  <si>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</si>
  <si>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</si>
  <si>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</si>
  <si>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</si>
  <si>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</si>
  <si>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</si>
  <si>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</si>
  <si>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</si>
  <si>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</si>
  <si>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</si>
  <si>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</si>
  <si>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</si>
  <si>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</si>
  <si>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</si>
  <si>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</si>
  <si>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</si>
  <si>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</si>
  <si>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</si>
  <si>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</si>
  <si>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</si>
  <si>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</si>
  <si>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</si>
  <si>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</si>
  <si>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</si>
  <si>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</si>
  <si>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</si>
  <si>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</si>
  <si>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</si>
  <si>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</si>
  <si>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</si>
  <si>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</si>
  <si>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</si>
  <si>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</si>
  <si>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</si>
  <si>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</si>
  <si>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</si>
  <si>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</si>
  <si>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</si>
  <si>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</si>
  <si>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</si>
  <si>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</si>
  <si>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</si>
  <si>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</si>
  <si>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</si>
  <si>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</si>
  <si>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</si>
  <si>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</si>
  <si>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</si>
  <si>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</si>
  <si>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</si>
  <si>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</si>
  <si>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</si>
  <si>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</si>
  <si>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</si>
  <si>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</si>
  <si>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</si>
  <si>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</si>
  <si>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</si>
  <si>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</si>
  <si>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</si>
  <si>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</si>
  <si>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</si>
  <si>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</si>
  <si>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</si>
  <si>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</si>
  <si>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</si>
  <si>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</si>
  <si>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</si>
  <si>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</si>
  <si>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</si>
  <si>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</si>
  <si>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</si>
  <si>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</si>
  <si>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</si>
  <si>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</si>
  <si>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</si>
  <si>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</si>
  <si>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</si>
  <si>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</si>
  <si>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</si>
  <si>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</si>
  <si>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</si>
  <si>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</si>
  <si>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</si>
  <si>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</si>
  <si>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</si>
  <si>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</si>
  <si>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</si>
  <si>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</si>
  <si>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</si>
  <si>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</si>
  <si>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</si>
  <si>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</si>
  <si>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</si>
  <si>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</si>
  <si>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</si>
  <si>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</si>
  <si>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</si>
  <si>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</si>
  <si>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</si>
  <si>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</si>
  <si>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</si>
  <si>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</si>
  <si>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</si>
  <si>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</si>
  <si>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</si>
  <si>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</si>
  <si>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</si>
  <si>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</si>
  <si>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</si>
  <si>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</si>
  <si>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</si>
  <si>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</si>
  <si>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</si>
  <si>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</si>
  <si>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</si>
  <si>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</si>
  <si>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</si>
  <si>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</si>
  <si>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</si>
  <si>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</si>
  <si>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</si>
  <si>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</si>
  <si>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</si>
  <si>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</si>
  <si>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</si>
  <si>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</si>
  <si>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</si>
  <si>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</si>
  <si>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</si>
  <si>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</si>
  <si>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</si>
  <si>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</si>
  <si>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</si>
  <si>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</si>
  <si>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</si>
  <si>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</si>
  <si>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</si>
  <si>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</si>
  <si>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</si>
  <si>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</si>
  <si>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</si>
  <si>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</si>
  <si>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</si>
  <si>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</si>
  <si>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</si>
  <si>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</si>
  <si>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</si>
  <si>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</si>
  <si>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</si>
  <si>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</si>
  <si>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</si>
  <si>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</si>
  <si>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</si>
  <si>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</si>
  <si>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</si>
  <si>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</si>
  <si>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</si>
  <si>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</si>
  <si>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</si>
  <si>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</si>
  <si>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</si>
  <si>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</si>
  <si>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</si>
  <si>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</si>
  <si>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</si>
  <si>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</si>
  <si>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</si>
  <si>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</si>
  <si>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</si>
  <si>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</si>
  <si>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</si>
  <si>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</si>
  <si>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</si>
  <si>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</si>
  <si>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</si>
  <si>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</si>
  <si>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</si>
  <si>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</si>
  <si>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</si>
  <si>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</si>
  <si>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</si>
  <si>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</si>
  <si>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</si>
  <si>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</si>
  <si>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</si>
  <si>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</si>
  <si>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</si>
  <si>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</si>
  <si>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</si>
  <si>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</si>
  <si>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</si>
  <si>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</si>
  <si>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</si>
  <si>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</si>
  <si>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</si>
  <si>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</si>
  <si>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</si>
  <si>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</si>
  <si>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</si>
  <si>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</si>
  <si>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</si>
  <si>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</si>
  <si>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</si>
  <si>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</si>
  <si>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</si>
  <si>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</si>
  <si>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</si>
  <si>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</si>
  <si>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</si>
  <si>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</si>
  <si>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</si>
  <si>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</si>
  <si>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</si>
  <si>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</si>
  <si>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</si>
  <si>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</si>
  <si>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</si>
  <si>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</si>
  <si>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</si>
  <si>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</si>
  <si>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</si>
  <si>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</si>
  <si>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</si>
  <si>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</si>
  <si>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</si>
  <si>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</si>
  <si>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</si>
  <si>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</si>
  <si>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</si>
  <si>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</si>
  <si>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</si>
  <si>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</si>
  <si>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</si>
  <si>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</si>
  <si>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</si>
  <si>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</si>
  <si>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</si>
  <si>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</si>
  <si>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</si>
  <si>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</si>
  <si>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</si>
  <si>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</si>
  <si>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</si>
  <si>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</si>
  <si>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</si>
  <si>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</si>
  <si>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</si>
  <si>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</si>
  <si>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</si>
  <si>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</si>
  <si>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</si>
  <si>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</si>
  <si>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</si>
  <si>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</si>
  <si>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</si>
  <si>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</si>
  <si>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</si>
  <si>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</si>
  <si>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</si>
  <si>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</si>
  <si>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</si>
  <si>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</si>
  <si>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</si>
  <si>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</si>
  <si>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</si>
  <si>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</si>
  <si>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</si>
  <si>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</si>
  <si>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</si>
  <si>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</si>
  <si>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</si>
  <si>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</si>
  <si>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</si>
  <si>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</si>
  <si>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</si>
  <si>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</si>
  <si>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</si>
  <si>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</si>
  <si>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</si>
  <si>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</si>
  <si>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</si>
  <si>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</si>
  <si>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</si>
  <si>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</si>
  <si>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</si>
  <si>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</si>
  <si>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</si>
  <si>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</si>
  <si>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</si>
  <si>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</si>
  <si>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</si>
  <si>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</si>
  <si>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</si>
  <si>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</si>
  <si>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</si>
  <si>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</si>
  <si>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</si>
  <si>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</si>
  <si>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</si>
  <si>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</si>
  <si>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</si>
  <si>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</si>
  <si>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</si>
  <si>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</si>
  <si>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</si>
  <si>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</si>
  <si>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</si>
  <si>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</si>
  <si>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</si>
  <si>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</si>
  <si>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</si>
  <si>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</si>
  <si>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</si>
  <si>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</si>
  <si>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</si>
  <si>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</si>
  <si>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</si>
  <si>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</si>
  <si>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</si>
  <si>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</si>
  <si>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</si>
  <si>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</si>
  <si>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</si>
  <si>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</si>
  <si>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</si>
  <si>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</si>
  <si>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</si>
  <si>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</si>
  <si>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</si>
  <si>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</si>
  <si>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</si>
  <si>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</si>
  <si>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</si>
  <si>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</si>
  <si>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</si>
  <si>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</si>
  <si>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</si>
  <si>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</si>
  <si>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</si>
  <si>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</si>
  <si>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</si>
  <si>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</si>
  <si>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</si>
  <si>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</si>
  <si>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</si>
  <si>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</si>
  <si>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</si>
  <si>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</si>
  <si>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</si>
  <si>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</si>
  <si>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</si>
  <si>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</si>
  <si>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</si>
  <si>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</si>
  <si>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</si>
  <si>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</si>
  <si>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</si>
  <si>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</si>
  <si>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</si>
  <si>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</si>
  <si>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</si>
  <si>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</si>
  <si>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</si>
  <si>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</si>
  <si>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</si>
  <si>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</si>
  <si>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</si>
  <si>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</si>
  <si>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</si>
  <si>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</si>
  <si>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</si>
  <si>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</si>
  <si>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</si>
  <si>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</si>
  <si>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</si>
  <si>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</si>
  <si>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</si>
  <si>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</si>
  <si>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</si>
  <si>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</si>
  <si>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</si>
  <si>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</si>
  <si>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</si>
  <si>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</si>
  <si>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</si>
  <si>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</si>
  <si>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</si>
  <si>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</si>
  <si>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</si>
  <si>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</si>
  <si>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</si>
  <si>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</si>
  <si>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</si>
  <si>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</si>
  <si>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</si>
  <si>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</si>
  <si>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</si>
  <si>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</si>
  <si>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</si>
  <si>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</si>
  <si>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</si>
  <si>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</si>
  <si>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</si>
  <si>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</si>
  <si>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</si>
  <si>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</si>
  <si>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</si>
  <si>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</si>
  <si>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</si>
  <si>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</si>
  <si>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</si>
  <si>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</si>
  <si>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</si>
  <si>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</si>
  <si>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</si>
  <si>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</si>
  <si>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</si>
  <si>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</si>
  <si>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</si>
  <si>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</si>
  <si>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</si>
  <si>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</si>
  <si>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</si>
  <si>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</si>
  <si>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</si>
  <si>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</si>
  <si>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</si>
  <si>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</si>
  <si>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</si>
  <si>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</si>
  <si>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</si>
  <si>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</si>
  <si>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</si>
  <si>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</si>
  <si>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</si>
  <si>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</si>
  <si>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</si>
  <si>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</si>
  <si>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</si>
  <si>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</si>
  <si>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</si>
  <si>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</si>
  <si>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</si>
  <si>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</si>
  <si>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</si>
  <si>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</si>
  <si>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</si>
  <si>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</si>
  <si>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</si>
  <si>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</si>
  <si>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</si>
  <si>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</si>
  <si>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</si>
  <si>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</si>
  <si>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</si>
  <si>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</si>
  <si>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</si>
  <si>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</si>
  <si>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</si>
  <si>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</si>
  <si>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</si>
  <si>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</si>
  <si>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</si>
  <si>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</si>
  <si>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</si>
  <si>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</si>
  <si>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</si>
  <si>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</si>
  <si>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</si>
  <si>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</si>
  <si>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</si>
  <si>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</si>
  <si>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</si>
  <si>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</si>
  <si>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</si>
  <si>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</si>
  <si>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</si>
  <si>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</si>
  <si>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</si>
  <si>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</si>
  <si>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</si>
  <si>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</si>
  <si>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</si>
  <si>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</si>
  <si>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</si>
  <si>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</si>
  <si>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</si>
  <si>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</si>
  <si>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</si>
  <si>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</si>
  <si>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</si>
  <si>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</si>
  <si>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</si>
  <si>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</si>
  <si>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</si>
  <si>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</si>
  <si>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</si>
  <si>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</si>
  <si>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</si>
  <si>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</si>
  <si>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</si>
  <si>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</si>
  <si>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</si>
  <si>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</si>
  <si>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</si>
  <si>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</si>
  <si>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</si>
  <si>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</si>
  <si>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</si>
  <si>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</si>
  <si>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</si>
  <si>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</si>
  <si>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</si>
  <si>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</si>
  <si>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</si>
  <si>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</si>
  <si>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</si>
  <si>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</si>
  <si>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</si>
  <si>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</si>
  <si>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</si>
  <si>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</si>
  <si>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</si>
  <si>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</si>
  <si>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</si>
  <si>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</si>
  <si>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</si>
  <si>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</si>
  <si>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</si>
  <si>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</si>
  <si>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</si>
  <si>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</si>
  <si>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</si>
  <si>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</si>
  <si>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</si>
  <si>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</si>
  <si>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</si>
  <si>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</si>
  <si>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</si>
  <si>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</si>
  <si>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</si>
  <si>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</si>
  <si>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</si>
  <si>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</si>
  <si>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</si>
  <si>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</si>
  <si>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</si>
  <si>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</si>
  <si>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</si>
  <si>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</si>
  <si>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</si>
  <si>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</si>
  <si>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</si>
  <si>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</si>
  <si>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</si>
  <si>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</si>
  <si>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</si>
  <si>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</si>
  <si>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</si>
  <si>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</si>
  <si>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</si>
  <si>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</si>
  <si>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</si>
  <si>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</si>
  <si>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</si>
  <si>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</si>
  <si>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</si>
  <si>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</si>
  <si>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</si>
  <si>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</si>
  <si>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</si>
  <si>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</si>
  <si>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</si>
  <si>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</si>
  <si>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</si>
  <si>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</si>
  <si>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</si>
  <si>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</si>
  <si>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</si>
  <si>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</si>
  <si>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</si>
  <si>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</si>
  <si>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</si>
  <si>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</si>
  <si>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</si>
  <si>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</si>
  <si>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</si>
  <si>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</si>
  <si>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</si>
  <si>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</si>
  <si>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</si>
  <si>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</si>
  <si>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</si>
  <si>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</si>
  <si>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</si>
  <si>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</si>
  <si>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</si>
  <si>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</si>
  <si>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</si>
  <si>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</si>
  <si>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</si>
  <si>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</si>
  <si>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</si>
  <si>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</si>
  <si>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</si>
  <si>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</si>
  <si>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</si>
  <si>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</si>
  <si>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</si>
  <si>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</si>
  <si>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</si>
  <si>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</si>
  <si>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</si>
  <si>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</si>
  <si>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</si>
  <si>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</si>
  <si>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</si>
  <si>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</si>
  <si>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</si>
  <si>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</si>
  <si>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</si>
  <si>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</si>
  <si>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</si>
  <si>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</si>
  <si>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</si>
  <si>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</si>
  <si>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</si>
  <si>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</si>
  <si>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</si>
  <si>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</si>
  <si>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</si>
  <si>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</si>
  <si>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</si>
  <si>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</si>
  <si>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</si>
  <si>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</si>
  <si>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</si>
  <si>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</si>
  <si>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</si>
  <si>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</si>
  <si>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</si>
  <si>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</si>
  <si>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</si>
  <si>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</si>
  <si>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</si>
  <si>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</si>
  <si>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</si>
  <si>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</si>
  <si>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</si>
  <si>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</si>
  <si>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</si>
  <si>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</si>
  <si>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</si>
  <si>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</si>
  <si>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</si>
  <si>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</si>
  <si>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</si>
  <si>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</si>
  <si>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</si>
  <si>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</si>
  <si>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</si>
  <si>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</si>
  <si>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</si>
  <si>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</si>
  <si>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</si>
  <si>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</si>
  <si>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</si>
  <si>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</si>
  <si>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</si>
  <si>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</si>
  <si>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</si>
  <si>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</si>
  <si>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</si>
  <si>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</si>
  <si>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</si>
  <si>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</si>
  <si>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</si>
  <si>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</si>
  <si>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</si>
  <si>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</si>
  <si>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</si>
  <si>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</si>
  <si>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</si>
  <si>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</si>
  <si>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</si>
  <si>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</si>
  <si>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</si>
  <si>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</si>
  <si>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</si>
  <si>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</si>
  <si>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</si>
  <si>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</si>
  <si>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</si>
  <si>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</si>
  <si>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</si>
  <si>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</si>
  <si>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</si>
  <si>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</si>
  <si>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</si>
  <si>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</si>
  <si>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</si>
  <si>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</si>
  <si>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</si>
  <si>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</si>
  <si>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</si>
  <si>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</si>
  <si>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</si>
  <si>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</si>
  <si>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</si>
  <si>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</si>
  <si>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</si>
  <si>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</si>
  <si>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</si>
  <si>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</si>
  <si>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</si>
  <si>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</si>
  <si>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</si>
  <si>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</si>
  <si>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</si>
  <si>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</si>
  <si>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</si>
  <si>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</si>
  <si>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</si>
  <si>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</si>
  <si>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</si>
  <si>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</si>
  <si>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</si>
  <si>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</si>
  <si>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</si>
  <si>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</si>
  <si>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</si>
  <si>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</si>
  <si>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</si>
  <si>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</si>
  <si>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</si>
  <si>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</si>
  <si>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</si>
  <si>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</si>
  <si>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</si>
  <si>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</si>
  <si>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</si>
  <si>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</si>
  <si>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</si>
  <si>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</si>
  <si>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</si>
  <si>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</si>
  <si>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</si>
  <si>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</si>
  <si>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</si>
  <si>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</si>
  <si>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</si>
  <si>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</si>
  <si>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</si>
  <si>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</si>
  <si>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</si>
  <si>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</si>
  <si>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</si>
  <si>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</si>
  <si>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</si>
  <si>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</si>
  <si>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</si>
  <si>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</si>
  <si>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</si>
  <si>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</si>
  <si>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</si>
  <si>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</si>
  <si>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</si>
  <si>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</si>
  <si>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</si>
  <si>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</si>
  <si>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</si>
  <si>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</si>
  <si>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</si>
  <si>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</si>
  <si>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</si>
  <si>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</si>
  <si>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</si>
  <si>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</si>
  <si>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</si>
  <si>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</si>
  <si>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</si>
  <si>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</si>
  <si>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</si>
  <si>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</si>
  <si>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</si>
  <si>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</si>
  <si>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</si>
  <si>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</si>
  <si>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</si>
  <si>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</si>
  <si>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</si>
  <si>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</si>
  <si>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</si>
  <si>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</si>
  <si>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</si>
  <si>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</si>
  <si>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</si>
  <si>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</si>
  <si>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</si>
  <si>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</si>
  <si>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</si>
  <si>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</si>
  <si>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</si>
  <si>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</si>
  <si>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</si>
  <si>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</si>
  <si>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</si>
  <si>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</si>
  <si>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</si>
  <si>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</si>
  <si>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</si>
  <si>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</si>
  <si>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</si>
  <si>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</si>
  <si>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</si>
  <si>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</si>
  <si>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</si>
  <si>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</si>
  <si>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</si>
  <si>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</si>
  <si>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</si>
  <si>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</si>
  <si>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</si>
  <si>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</si>
  <si>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</si>
  <si>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</si>
  <si>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</si>
  <si>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</si>
  <si>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</si>
  <si>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</si>
  <si>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</si>
  <si>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</si>
  <si>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</si>
  <si>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</si>
  <si>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</si>
  <si>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</si>
  <si>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</si>
  <si>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</si>
  <si>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</si>
  <si>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</si>
  <si>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</si>
  <si>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</si>
  <si>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</si>
  <si>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</si>
  <si>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</si>
  <si>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</si>
  <si>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</si>
  <si>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</si>
  <si>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</si>
  <si>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</si>
  <si>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</si>
  <si>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</si>
  <si>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</si>
  <si>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</si>
  <si>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</si>
  <si>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</si>
  <si>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</si>
  <si>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</si>
  <si>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</si>
  <si>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</si>
  <si>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</si>
  <si>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</si>
  <si>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</si>
  <si>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</si>
  <si>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</si>
  <si>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</si>
  <si>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</si>
  <si>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</si>
  <si>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</si>
  <si>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</si>
  <si>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</si>
  <si>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</si>
  <si>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</si>
  <si>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</si>
  <si>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</si>
  <si>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</si>
  <si>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</si>
  <si>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</si>
  <si>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</si>
  <si>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</si>
  <si>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</si>
  <si>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</si>
  <si>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</si>
  <si>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</si>
  <si>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</si>
  <si>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</si>
  <si>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</si>
  <si>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</si>
  <si>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</si>
  <si>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</si>
  <si>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</si>
  <si>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</si>
  <si>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</si>
  <si>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</si>
  <si>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</si>
  <si>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</si>
  <si>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</si>
  <si>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</si>
  <si>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</si>
  <si>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</si>
  <si>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</si>
  <si>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</si>
  <si>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</si>
  <si>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</si>
  <si>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</si>
  <si>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</si>
  <si>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</si>
  <si>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</si>
  <si>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</si>
  <si>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</si>
  <si>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</si>
  <si>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</si>
  <si>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</si>
  <si>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</si>
  <si>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</si>
  <si>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</si>
  <si>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</si>
  <si>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</si>
  <si>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</si>
  <si>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</si>
  <si>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</si>
  <si>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</si>
  <si>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</si>
  <si>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</si>
  <si>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</si>
  <si>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</si>
  <si>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</si>
  <si>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</si>
  <si>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</si>
  <si>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</si>
  <si>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</si>
  <si>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</si>
  <si>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</si>
  <si>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</si>
  <si>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</si>
  <si>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</si>
  <si>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</si>
  <si>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</si>
  <si>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</si>
  <si>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</si>
  <si>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</si>
  <si>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</si>
  <si>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</si>
  <si>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</si>
  <si>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</si>
  <si>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</si>
  <si>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</si>
  <si>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</si>
  <si>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</si>
  <si>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</si>
  <si>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</si>
  <si>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</si>
  <si>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</si>
  <si>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</si>
  <si>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</si>
  <si>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</si>
  <si>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</si>
  <si>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</si>
  <si>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</si>
  <si>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</si>
  <si>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</si>
  <si>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</si>
  <si>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</si>
  <si>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</si>
  <si>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</si>
  <si>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</si>
  <si>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</si>
  <si>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</si>
  <si>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</si>
  <si>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</si>
  <si>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</si>
  <si>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</si>
  <si>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</si>
  <si>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</si>
  <si>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</si>
  <si>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</si>
  <si>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</si>
  <si>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</si>
  <si>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</si>
  <si>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</si>
  <si>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</si>
  <si>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</si>
  <si>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</si>
  <si>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</si>
  <si>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</si>
  <si>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</si>
  <si>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</si>
  <si>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</si>
  <si>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</si>
  <si>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</si>
  <si>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</si>
  <si>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</si>
  <si>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</si>
  <si>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</si>
  <si>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</si>
  <si>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</si>
  <si>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</si>
  <si>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</si>
  <si>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</si>
  <si>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</si>
  <si>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</si>
  <si>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</si>
  <si>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</si>
  <si>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</si>
  <si>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</si>
  <si>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</si>
  <si>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</si>
  <si>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</si>
  <si>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</si>
  <si>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</si>
  <si>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</si>
  <si>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</si>
  <si>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</si>
  <si>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</si>
  <si>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</si>
  <si>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</si>
  <si>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</si>
  <si>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</si>
  <si>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</si>
  <si>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</si>
  <si>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</si>
  <si>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</si>
  <si>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</si>
  <si>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</si>
  <si>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</si>
  <si>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</si>
  <si>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</si>
  <si>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</si>
  <si>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</si>
  <si>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</si>
  <si>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</si>
  <si>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</si>
  <si>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</si>
  <si>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</si>
  <si>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</si>
  <si>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</si>
  <si>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</si>
  <si>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</si>
  <si>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</si>
  <si>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</si>
  <si>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</si>
  <si>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</si>
  <si>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</si>
  <si>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</si>
  <si>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</si>
  <si>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</si>
  <si>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</si>
  <si>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</si>
  <si>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</si>
  <si>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</si>
  <si>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</si>
  <si>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</si>
  <si>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</si>
  <si>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</si>
  <si>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</si>
  <si>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</si>
  <si>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</si>
  <si>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</si>
  <si>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</si>
  <si>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</si>
  <si>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</si>
  <si>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</si>
  <si>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</si>
  <si>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</si>
  <si>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</si>
  <si>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</si>
  <si>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</si>
  <si>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</si>
  <si>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</si>
  <si>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</si>
  <si>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</si>
  <si>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</si>
  <si>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</si>
  <si>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</si>
  <si>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</si>
  <si>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</si>
  <si>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</si>
  <si>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</si>
  <si>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</si>
  <si>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</si>
  <si>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</si>
  <si>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</si>
  <si>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</si>
  <si>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</si>
  <si>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</si>
  <si>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</si>
  <si>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</si>
  <si>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</si>
  <si>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</si>
  <si>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</si>
  <si>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</si>
  <si>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</si>
  <si>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</si>
  <si>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</si>
  <si>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</si>
  <si>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</si>
  <si>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</si>
  <si>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</si>
  <si>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</si>
  <si>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</si>
  <si>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</si>
  <si>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</si>
  <si>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</si>
  <si>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</si>
  <si>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</si>
  <si>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</si>
  <si>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</si>
  <si>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</si>
  <si>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</si>
  <si>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</si>
  <si>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</si>
  <si>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</si>
  <si>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</si>
  <si>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</si>
  <si>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</si>
  <si>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</si>
  <si>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</si>
  <si>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</si>
  <si>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</si>
  <si>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</si>
  <si>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</si>
  <si>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</si>
  <si>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</si>
  <si>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</si>
  <si>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</si>
  <si>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</si>
  <si>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</si>
  <si>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</si>
  <si>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</si>
  <si>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</si>
  <si>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</si>
  <si>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</si>
  <si>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</si>
  <si>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</si>
  <si>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</si>
  <si>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</si>
  <si>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</si>
  <si>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</si>
  <si>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</si>
  <si>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</si>
  <si>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</si>
  <si>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</si>
  <si>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</si>
  <si>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</si>
  <si>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</si>
  <si>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</si>
  <si>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</si>
  <si>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</si>
  <si>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</si>
  <si>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</si>
  <si>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</si>
  <si>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</si>
  <si>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</si>
  <si>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</si>
  <si>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</si>
  <si>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</si>
  <si>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</si>
  <si>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</si>
  <si>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</si>
  <si>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</si>
  <si>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</si>
  <si>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</si>
  <si>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</si>
  <si>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</si>
  <si>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</si>
  <si>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</si>
  <si>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</si>
  <si>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</si>
  <si>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</si>
  <si>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</si>
  <si>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</si>
  <si>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</si>
  <si>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</si>
  <si>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</si>
  <si>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</si>
  <si>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</si>
  <si>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</si>
  <si>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</si>
  <si>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</si>
  <si>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</si>
  <si>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</si>
  <si>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</si>
  <si>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</si>
  <si>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</si>
  <si>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</si>
  <si>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</si>
  <si>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</si>
  <si>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</si>
  <si>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</si>
  <si>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</si>
  <si>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</si>
  <si>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</si>
  <si>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</si>
  <si>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</si>
  <si>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</si>
  <si>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</si>
  <si>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</si>
  <si>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</si>
  <si>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</si>
  <si>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</si>
  <si>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</si>
  <si>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</si>
  <si>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</si>
  <si>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</si>
  <si>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</si>
  <si>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</si>
  <si>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</si>
  <si>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</si>
  <si>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</si>
  <si>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</si>
  <si>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</si>
  <si>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</si>
  <si>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</si>
  <si>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</si>
  <si>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</si>
  <si>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</si>
  <si>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</si>
  <si>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</si>
  <si>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</si>
  <si>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</si>
  <si>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</si>
  <si>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</si>
  <si>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</si>
  <si>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</si>
  <si>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</si>
  <si>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</si>
  <si>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</si>
  <si>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</si>
  <si>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</si>
  <si>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</si>
  <si>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</si>
  <si>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</si>
  <si>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</si>
  <si>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</si>
  <si>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</si>
  <si>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</si>
  <si>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</si>
  <si>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</si>
  <si>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</si>
  <si>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</si>
  <si>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</si>
  <si>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</si>
  <si>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</si>
  <si>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</si>
  <si>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</si>
  <si>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</si>
  <si>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</si>
  <si>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</si>
  <si>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</si>
  <si>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</si>
  <si>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</si>
  <si>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</si>
  <si>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</si>
  <si>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</si>
  <si>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</si>
  <si>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</si>
  <si>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</si>
  <si>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</si>
  <si>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</si>
  <si>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</si>
  <si>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</si>
  <si>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</si>
  <si>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</si>
  <si>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</si>
  <si>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</si>
  <si>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</si>
  <si>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</si>
  <si>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</si>
  <si>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</si>
  <si>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</si>
  <si>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</si>
  <si>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</si>
  <si>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</si>
  <si>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</si>
  <si>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</si>
  <si>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</si>
  <si>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</si>
  <si>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</si>
  <si>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</si>
  <si>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</si>
  <si>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</si>
  <si>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</si>
  <si>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</si>
  <si>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</si>
  <si>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</si>
  <si>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</si>
  <si>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</si>
  <si>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</si>
  <si>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</si>
  <si>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</si>
  <si>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</si>
  <si>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</si>
  <si>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</si>
  <si>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</si>
  <si>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</si>
  <si>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</si>
  <si>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</si>
  <si>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</si>
  <si>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</si>
  <si>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</si>
  <si>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</si>
  <si>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</si>
  <si>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</si>
  <si>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</si>
  <si>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</si>
  <si>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</si>
  <si>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</si>
  <si>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</si>
  <si>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</si>
  <si>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</si>
  <si>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</si>
  <si>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</si>
  <si>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</si>
  <si>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</si>
  <si>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</si>
  <si>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</si>
  <si>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</si>
  <si>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</si>
  <si>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</si>
  <si>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</si>
  <si>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</si>
  <si>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</si>
  <si>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</si>
  <si>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</si>
  <si>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</si>
  <si>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</si>
  <si>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</si>
  <si>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</si>
  <si>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</si>
  <si>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</si>
  <si>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</si>
  <si>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</si>
  <si>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</si>
  <si>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</si>
  <si>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</si>
  <si>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</si>
  <si>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</si>
  <si>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</si>
  <si>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</si>
  <si>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</si>
  <si>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</si>
  <si>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</si>
  <si>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</si>
  <si>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</si>
  <si>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</si>
  <si>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</si>
  <si>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</si>
  <si>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</si>
  <si>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</si>
  <si>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</si>
  <si>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</si>
  <si>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</si>
  <si>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</si>
  <si>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</si>
  <si>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</si>
  <si>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</si>
  <si>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</si>
  <si>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</si>
  <si>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</si>
  <si>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</si>
  <si>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</si>
  <si>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</si>
  <si>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</si>
  <si>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</si>
  <si>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</si>
  <si>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</si>
  <si>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</si>
  <si>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</si>
  <si>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</si>
  <si>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</si>
  <si>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</si>
  <si>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</si>
  <si>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</si>
  <si>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</si>
  <si>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</si>
  <si>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</si>
  <si>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</si>
  <si>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</si>
  <si>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</si>
  <si>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</si>
  <si>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</si>
  <si>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</si>
  <si>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</si>
  <si>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</si>
  <si>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</si>
  <si>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</si>
  <si>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</si>
  <si>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</si>
  <si>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</si>
  <si>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</si>
  <si>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</si>
  <si>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</si>
  <si>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</si>
  <si>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</si>
  <si>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</si>
  <si>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</si>
  <si>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</si>
  <si>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</si>
  <si>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</si>
  <si>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</si>
  <si>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</si>
  <si>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</si>
  <si>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</si>
  <si>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</si>
  <si>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</si>
  <si>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</si>
  <si>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</si>
  <si>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</si>
  <si>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</si>
  <si>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</si>
  <si>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</si>
  <si>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</si>
  <si>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</si>
  <si>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</si>
  <si>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</si>
  <si>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</si>
  <si>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</si>
  <si>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</si>
  <si>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</si>
  <si>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</si>
  <si>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</si>
  <si>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</si>
  <si>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</si>
  <si>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</si>
  <si>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</si>
  <si>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</si>
  <si>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</si>
  <si>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</si>
  <si>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</si>
  <si>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</si>
  <si>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</si>
  <si>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</si>
  <si>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</si>
  <si>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</si>
  <si>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</si>
  <si>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</si>
  <si>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</si>
  <si>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</si>
  <si>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</si>
  <si>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</si>
  <si>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</si>
  <si>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</si>
  <si>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</si>
  <si>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</si>
  <si>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</si>
  <si>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</si>
  <si>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</si>
  <si>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</si>
  <si>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</si>
  <si>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</si>
  <si>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</si>
  <si>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</si>
  <si>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</si>
  <si>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</si>
  <si>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</si>
  <si>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</si>
  <si>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</si>
  <si>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</si>
  <si>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</si>
  <si>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</si>
  <si>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</si>
  <si>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</si>
  <si>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</si>
  <si>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</si>
  <si>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</si>
  <si>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</si>
  <si>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</si>
  <si>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</si>
  <si>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</si>
  <si>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</si>
  <si>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</si>
  <si>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</si>
  <si>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</si>
  <si>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</si>
  <si>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</si>
  <si>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</si>
  <si>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</si>
  <si>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</si>
  <si>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</si>
  <si>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</si>
  <si>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</si>
  <si>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</si>
  <si>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</si>
  <si>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</si>
  <si>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</si>
  <si>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</si>
  <si>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</si>
  <si>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</si>
  <si>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</si>
  <si>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</si>
  <si>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</si>
  <si>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</si>
  <si>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</si>
  <si>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</si>
  <si>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</si>
  <si>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</si>
  <si>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</si>
  <si>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</si>
  <si>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</si>
  <si>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</si>
  <si>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</si>
  <si>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</si>
  <si>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</si>
  <si>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</si>
  <si>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</si>
  <si>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</si>
  <si>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</si>
  <si>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</si>
  <si>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</si>
  <si>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</si>
  <si>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</si>
  <si>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</si>
  <si>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</si>
  <si>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</si>
  <si>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</si>
  <si>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</si>
  <si>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</si>
  <si>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</si>
  <si>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</si>
  <si>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</si>
  <si>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</si>
  <si>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</si>
  <si>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</si>
  <si>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</si>
  <si>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</si>
  <si>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</si>
  <si>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</si>
  <si>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</si>
  <si>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</si>
  <si>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</si>
  <si>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</si>
  <si>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</si>
  <si>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</si>
  <si>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</si>
  <si>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</si>
  <si>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</si>
  <si>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</si>
  <si>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</si>
  <si>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</si>
  <si>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</si>
  <si>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</si>
  <si>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</si>
  <si>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</si>
  <si>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</si>
  <si>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</si>
  <si>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</si>
  <si>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</si>
  <si>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</si>
  <si>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</si>
  <si>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</si>
  <si>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</si>
  <si>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</si>
  <si>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</si>
  <si>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</si>
  <si>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</si>
  <si>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</si>
  <si>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</si>
  <si>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</si>
  <si>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</si>
  <si>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</si>
  <si>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</si>
  <si>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</si>
  <si>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</si>
  <si>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</si>
  <si>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</si>
  <si>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</si>
  <si>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</si>
  <si>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</si>
  <si>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</si>
  <si>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</si>
  <si>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</si>
  <si>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</si>
  <si>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</si>
  <si>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</si>
  <si>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</si>
  <si>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</si>
  <si>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</si>
  <si>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</si>
  <si>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</si>
  <si>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</si>
  <si>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</si>
  <si>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</si>
  <si>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</si>
  <si>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</si>
  <si>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</si>
  <si>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</si>
  <si>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</si>
  <si>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</si>
  <si>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</si>
  <si>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</si>
  <si>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</si>
  <si>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</si>
  <si>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</si>
  <si>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</si>
  <si>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</si>
  <si>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</si>
  <si>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</si>
  <si>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</si>
  <si>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</si>
  <si>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</si>
  <si>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</si>
  <si>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</si>
  <si>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</si>
  <si>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</si>
  <si>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</si>
  <si>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</si>
  <si>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</si>
  <si>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</si>
  <si>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</si>
  <si>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</si>
  <si>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</si>
  <si>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</si>
  <si>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</si>
  <si>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</si>
  <si>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</si>
  <si>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</si>
  <si>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</si>
  <si>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</si>
  <si>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</si>
  <si>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</si>
  <si>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</si>
  <si>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</si>
  <si>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</si>
  <si>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</si>
  <si>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</si>
  <si>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</si>
  <si>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</si>
  <si>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</si>
  <si>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</si>
  <si>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</si>
  <si>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</si>
  <si>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</si>
  <si>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</si>
  <si>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</si>
  <si>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</si>
  <si>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</si>
  <si>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</si>
  <si>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</si>
  <si>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</si>
  <si>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</si>
  <si>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</si>
  <si>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</si>
  <si>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</si>
  <si>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</si>
  <si>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</si>
  <si>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</si>
  <si>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</si>
  <si>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</si>
  <si>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</si>
  <si>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</si>
  <si>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</si>
  <si>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</si>
  <si>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</si>
  <si>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</si>
  <si>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</si>
  <si>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</si>
  <si>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</si>
  <si>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</si>
  <si>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</si>
  <si>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</si>
  <si>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</si>
  <si>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</si>
  <si>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</si>
  <si>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</si>
  <si>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</si>
  <si>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</si>
  <si>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</si>
  <si>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</si>
  <si>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</si>
  <si>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</si>
  <si>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</si>
  <si>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</si>
  <si>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</si>
  <si>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</si>
  <si>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</si>
  <si>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</si>
  <si>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</si>
  <si>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</si>
  <si>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</si>
  <si>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</si>
  <si>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</si>
  <si>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</si>
  <si>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</si>
  <si>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</si>
  <si>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</si>
  <si>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</si>
  <si>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</si>
  <si>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</si>
  <si>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</si>
  <si>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</si>
  <si>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</si>
  <si>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</si>
  <si>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</si>
  <si>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</si>
  <si>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</si>
  <si>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</si>
  <si>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</si>
  <si>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</si>
  <si>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</si>
  <si>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</si>
  <si>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</si>
  <si>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</si>
  <si>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</si>
  <si>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</si>
  <si>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</si>
  <si>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</si>
  <si>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</si>
  <si>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</si>
  <si>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</si>
  <si>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</si>
  <si>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</si>
  <si>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</si>
  <si>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</si>
  <si>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</si>
  <si>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</si>
  <si>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</si>
  <si>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</si>
  <si>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</si>
  <si>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</si>
  <si>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</si>
  <si>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</si>
  <si>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</si>
  <si>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</si>
  <si>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</si>
  <si>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</si>
  <si>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</si>
  <si>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</si>
  <si>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</si>
  <si>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</si>
  <si>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</si>
  <si>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</si>
  <si>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</si>
  <si>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</si>
  <si>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</si>
  <si>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</si>
  <si>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</si>
  <si>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</si>
  <si>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</si>
  <si>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</si>
  <si>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</si>
  <si>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</si>
  <si>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</si>
  <si>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</si>
  <si>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</si>
  <si>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</si>
  <si>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</si>
  <si>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</si>
  <si>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</si>
  <si>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</si>
  <si>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</si>
  <si>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</si>
  <si>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</si>
  <si>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</si>
  <si>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</si>
  <si>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</si>
  <si>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</si>
  <si>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</si>
  <si>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</si>
  <si>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</si>
  <si>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</si>
  <si>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</si>
  <si>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</si>
  <si>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</si>
  <si>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</si>
  <si>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</si>
  <si>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</si>
  <si>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</si>
  <si>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</si>
  <si>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</si>
  <si>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</si>
  <si>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</si>
  <si>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</si>
  <si>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</si>
  <si>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</si>
  <si>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</si>
  <si>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</si>
  <si>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</si>
  <si>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</si>
  <si>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</si>
  <si>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</si>
  <si>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</si>
  <si>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</si>
  <si>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</si>
  <si>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</si>
  <si>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</si>
  <si>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</si>
  <si>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</si>
  <si>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</si>
  <si>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</si>
  <si>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</si>
  <si>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</si>
  <si>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</si>
  <si>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</si>
  <si>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</si>
  <si>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</si>
  <si>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</si>
  <si>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</si>
  <si>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</si>
  <si>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</si>
  <si>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</si>
  <si>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</si>
  <si>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</si>
  <si>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</si>
  <si>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</si>
  <si>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</si>
  <si>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</si>
  <si>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</si>
  <si>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</si>
  <si>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</si>
  <si>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</si>
  <si>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</si>
  <si>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</si>
  <si>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</si>
  <si>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</si>
  <si>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</si>
  <si>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</si>
  <si>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</si>
  <si>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</si>
  <si>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</si>
  <si>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</si>
  <si>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</si>
  <si>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</si>
  <si>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</si>
  <si>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</si>
  <si>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</si>
  <si>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</si>
  <si>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</si>
  <si>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</si>
  <si>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</si>
  <si>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</si>
  <si>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</si>
  <si>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</si>
  <si>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</si>
  <si>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</si>
  <si>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</si>
  <si>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</si>
  <si>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</si>
  <si>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</si>
  <si>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</si>
  <si>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</si>
  <si>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</si>
  <si>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</si>
  <si>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</si>
  <si>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</si>
  <si>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</si>
  <si>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</si>
  <si>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</si>
  <si>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</si>
  <si>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</si>
  <si>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</si>
  <si>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</si>
  <si>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</si>
  <si>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</si>
  <si>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</si>
  <si>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</si>
  <si>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</si>
  <si>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</si>
  <si>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</si>
  <si>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</si>
  <si>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</si>
  <si>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</si>
  <si>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</si>
  <si>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</si>
  <si>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</si>
  <si>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</si>
  <si>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</si>
  <si>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</si>
  <si>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</si>
  <si>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</si>
  <si>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</si>
  <si>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</si>
  <si>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</si>
  <si>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</si>
  <si>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</si>
  <si>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</si>
  <si>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</si>
  <si>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</si>
  <si>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</si>
  <si>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</si>
  <si>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</si>
  <si>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</si>
  <si>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</si>
  <si>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</si>
  <si>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</si>
  <si>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</si>
  <si>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</si>
  <si>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</si>
  <si>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</si>
  <si>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</si>
  <si>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</si>
  <si>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</si>
  <si>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</si>
  <si>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</si>
  <si>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</si>
  <si>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</si>
  <si>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</si>
  <si>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</si>
  <si>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</si>
  <si>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</si>
  <si>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</si>
  <si>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</si>
  <si>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</si>
  <si>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</si>
  <si>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</si>
  <si>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</si>
  <si>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</si>
  <si>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</si>
  <si>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</si>
  <si>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</si>
  <si>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</si>
  <si>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</si>
  <si>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</si>
  <si>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</si>
  <si>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</si>
  <si>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</si>
  <si>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</si>
  <si>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</si>
  <si>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</si>
  <si>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</si>
  <si>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</si>
  <si>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</si>
  <si>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</si>
  <si>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</si>
  <si>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</si>
  <si>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</si>
  <si>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</si>
  <si>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</si>
  <si>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</si>
  <si>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</si>
  <si>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</si>
  <si>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</si>
  <si>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</si>
  <si>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</si>
  <si>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</si>
  <si>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</si>
  <si>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</si>
  <si>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</si>
  <si>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</si>
  <si>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</si>
  <si>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</si>
  <si>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</si>
  <si>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</si>
  <si>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</si>
  <si>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</si>
  <si>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</si>
  <si>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</si>
  <si>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</si>
  <si>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</si>
  <si>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</si>
  <si>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</si>
  <si>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</si>
  <si>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</si>
  <si>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</si>
  <si>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</si>
  <si>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</si>
  <si>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</si>
  <si>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</si>
  <si>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</si>
  <si>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</si>
  <si>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</si>
  <si>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</si>
  <si>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</si>
  <si>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</si>
  <si>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</si>
  <si>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</si>
  <si>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</si>
  <si>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</si>
  <si>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</si>
  <si>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</si>
  <si>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</si>
  <si>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</si>
  <si>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</si>
  <si>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</si>
  <si>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</si>
  <si>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</si>
  <si>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</si>
  <si>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</si>
  <si>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</si>
  <si>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</si>
  <si>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</si>
  <si>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</si>
  <si>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</si>
  <si>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</si>
  <si>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</si>
  <si>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</si>
  <si>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</si>
  <si>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</si>
  <si>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</si>
  <si>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</si>
  <si>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</si>
  <si>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</si>
  <si>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</si>
  <si>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</si>
  <si>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</si>
  <si>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</si>
  <si>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</si>
  <si>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</si>
  <si>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</si>
  <si>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</si>
  <si>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</si>
  <si>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</si>
  <si>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</si>
  <si>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</si>
  <si>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</si>
  <si>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</si>
  <si>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</si>
  <si>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</si>
  <si>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</si>
  <si>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</si>
  <si>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</si>
  <si>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</si>
  <si>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</si>
  <si>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</si>
  <si>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</si>
  <si>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</si>
  <si>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</si>
  <si>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</si>
  <si>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</si>
  <si>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</si>
  <si>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</si>
  <si>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</si>
  <si>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</si>
  <si>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</si>
  <si>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</si>
  <si>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</si>
  <si>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</si>
  <si>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</si>
  <si>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</si>
  <si>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</si>
  <si>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</si>
  <si>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</si>
  <si>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</si>
  <si>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</si>
  <si>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</si>
  <si>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</si>
  <si>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</si>
  <si>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</si>
  <si>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</si>
  <si>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</si>
  <si>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</si>
  <si>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</si>
  <si>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</si>
  <si>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</si>
  <si>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</si>
  <si>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</si>
  <si>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</si>
  <si>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</si>
  <si>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</si>
  <si>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</si>
  <si>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</si>
  <si>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</si>
  <si>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</si>
  <si>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</si>
  <si>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</si>
  <si>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</si>
  <si>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</si>
  <si>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</si>
  <si>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</si>
  <si>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</si>
  <si>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</si>
  <si>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</si>
  <si>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</si>
  <si>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</si>
  <si>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</si>
  <si>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</si>
  <si>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</si>
  <si>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</si>
  <si>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</si>
  <si>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</si>
  <si>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</si>
  <si>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</si>
  <si>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</si>
  <si>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</si>
  <si>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</si>
  <si>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</si>
  <si>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</si>
  <si>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</si>
  <si>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</si>
  <si>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</si>
  <si>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</si>
  <si>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</si>
  <si>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</si>
  <si>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</si>
  <si>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</si>
  <si>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</si>
  <si>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</si>
  <si>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</si>
  <si>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</si>
  <si>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</si>
  <si>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</si>
  <si>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</si>
  <si>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</si>
  <si>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</si>
  <si>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</si>
  <si>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</si>
  <si>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</si>
  <si>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</si>
  <si>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</si>
  <si>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</si>
  <si>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</si>
  <si>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</si>
  <si>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</si>
  <si>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</si>
  <si>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</si>
  <si>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</si>
  <si>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</si>
  <si>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</si>
  <si>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</si>
  <si>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</si>
  <si>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</si>
  <si>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</si>
  <si>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</si>
  <si>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</si>
  <si>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</si>
  <si>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</si>
  <si>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</si>
  <si>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</si>
  <si>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</si>
  <si>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</si>
  <si>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</si>
  <si>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</si>
  <si>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</si>
  <si>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</si>
  <si>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</si>
  <si>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</si>
  <si>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</si>
  <si>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</si>
  <si>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</si>
  <si>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</si>
  <si>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</si>
  <si>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</si>
  <si>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</si>
  <si>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</si>
  <si>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</si>
  <si>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</si>
  <si>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</si>
  <si>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</si>
  <si>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</si>
  <si>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</si>
  <si>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</si>
  <si>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</si>
  <si>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</si>
  <si>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</si>
  <si>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</si>
  <si>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</si>
  <si>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</si>
  <si>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</si>
  <si>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</si>
  <si>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</si>
  <si>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</si>
  <si>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</si>
  <si>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</si>
  <si>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</si>
  <si>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</si>
  <si>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</si>
  <si>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</si>
  <si>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</si>
  <si>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</si>
  <si>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</si>
  <si>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</si>
  <si>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</si>
  <si>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</si>
  <si>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</si>
  <si>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</si>
  <si>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</si>
  <si>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</si>
  <si>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</si>
  <si>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</si>
  <si>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</si>
  <si>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</si>
  <si>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</si>
  <si>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</si>
  <si>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</si>
  <si>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</si>
  <si>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</si>
  <si>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</si>
  <si>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</si>
  <si>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</si>
  <si>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</si>
  <si>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</si>
  <si>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</si>
  <si>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</si>
  <si>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</si>
  <si>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</si>
  <si>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</si>
  <si>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</si>
  <si>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</si>
  <si>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</si>
  <si>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</si>
  <si>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</si>
  <si>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</si>
  <si>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</si>
  <si>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</si>
  <si>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</si>
  <si>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</si>
  <si>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</si>
  <si>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</si>
  <si>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</si>
  <si>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</si>
  <si>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</si>
  <si>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</si>
  <si>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</si>
  <si>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</si>
  <si>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</si>
  <si>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</si>
  <si>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</si>
  <si>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</si>
  <si>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</si>
  <si>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</si>
  <si>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</si>
  <si>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</si>
  <si>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</si>
  <si>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</si>
  <si>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</si>
  <si>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</si>
  <si>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</si>
  <si>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</si>
  <si>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</si>
  <si>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</si>
  <si>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</si>
  <si>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</si>
  <si>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</si>
  <si>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</si>
  <si>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</si>
  <si>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</si>
  <si>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</si>
  <si>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</si>
  <si>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</si>
  <si>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</si>
  <si>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</si>
  <si>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</si>
  <si>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</si>
  <si>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</si>
  <si>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</si>
  <si>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</si>
  <si>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</si>
  <si>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</si>
  <si>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</si>
  <si>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</si>
  <si>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</si>
  <si>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</si>
  <si>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</si>
  <si>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</si>
  <si>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</si>
  <si>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</si>
  <si>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</si>
  <si>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</si>
  <si>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</si>
  <si>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</si>
  <si>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</si>
  <si>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</si>
  <si>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</si>
  <si>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</si>
  <si>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</si>
  <si>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</si>
  <si>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</si>
  <si>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</si>
  <si>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</si>
  <si>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</si>
  <si>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</si>
  <si>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</si>
  <si>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</si>
  <si>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</si>
  <si>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</si>
  <si>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</si>
  <si>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</si>
  <si>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</si>
  <si>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</si>
  <si>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</si>
  <si>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</si>
  <si>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</si>
  <si>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</si>
  <si>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</si>
  <si>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</si>
  <si>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</si>
  <si>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</si>
  <si>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</si>
  <si>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</si>
  <si>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</si>
  <si>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</si>
  <si>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</si>
  <si>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</si>
  <si>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</si>
  <si>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</si>
  <si>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</si>
  <si>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</si>
  <si>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</si>
  <si>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</si>
  <si>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</si>
  <si>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</si>
  <si>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</si>
  <si>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</si>
  <si>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</si>
  <si>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</si>
  <si>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</si>
  <si>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</si>
  <si>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</si>
  <si>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</si>
  <si>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</si>
  <si>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</si>
  <si>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</si>
  <si>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</si>
  <si>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</si>
  <si>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</si>
  <si>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</si>
  <si>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</si>
  <si>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</si>
  <si>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</si>
  <si>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</si>
  <si>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</si>
  <si>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</si>
  <si>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</si>
  <si>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</si>
  <si>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</si>
  <si>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</si>
  <si>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</si>
  <si>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</si>
  <si>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</si>
  <si>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</si>
  <si>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</si>
  <si>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</si>
  <si>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</si>
  <si>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</si>
  <si>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</si>
  <si>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</si>
  <si>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</si>
  <si>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</si>
  <si>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</si>
  <si>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</si>
  <si>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</si>
  <si>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</si>
  <si>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</si>
  <si>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</si>
  <si>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</si>
  <si>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</si>
  <si>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</si>
  <si>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</si>
  <si>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</si>
  <si>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</si>
  <si>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</si>
  <si>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</si>
  <si>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</si>
  <si>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</si>
  <si>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</si>
  <si>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</si>
  <si>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</si>
  <si>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</si>
  <si>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</si>
  <si>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</si>
  <si>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</si>
  <si>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</si>
  <si>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</si>
  <si>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</si>
  <si>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</si>
  <si>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</si>
  <si>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</si>
  <si>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</si>
  <si>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</si>
  <si>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</si>
  <si>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</si>
  <si>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</si>
  <si>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</si>
  <si>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</si>
  <si>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</si>
  <si>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</si>
  <si>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</si>
  <si>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</si>
  <si>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</si>
  <si>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</si>
  <si>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</si>
  <si>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</si>
  <si>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</si>
  <si>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</si>
  <si>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</si>
  <si>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</si>
  <si>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</si>
  <si>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</si>
  <si>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</si>
  <si>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</si>
  <si>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</si>
  <si>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</si>
  <si>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</si>
  <si>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</si>
  <si>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</si>
  <si>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</si>
  <si>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</si>
  <si>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</si>
  <si>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</si>
  <si>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</si>
  <si>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</si>
  <si>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</si>
  <si>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</si>
  <si>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</si>
  <si>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</si>
  <si>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</si>
  <si>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</si>
  <si>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</si>
  <si>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</si>
  <si>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</si>
  <si>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</si>
  <si>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</si>
  <si>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</si>
  <si>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</si>
  <si>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</si>
  <si>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</si>
  <si>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</si>
  <si>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</si>
  <si>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</si>
  <si>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</si>
  <si>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</si>
  <si>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</si>
  <si>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</si>
  <si>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</si>
  <si>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</si>
  <si>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</si>
  <si>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</si>
  <si>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</si>
  <si>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</si>
  <si>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</si>
  <si>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</si>
  <si>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</si>
  <si>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</si>
  <si>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</si>
  <si>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</si>
  <si>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</si>
  <si>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</si>
  <si>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</si>
  <si>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</si>
  <si>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</si>
  <si>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</si>
  <si>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</si>
  <si>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</si>
  <si>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</si>
  <si>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</si>
  <si>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</si>
  <si>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</si>
  <si>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</si>
  <si>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</si>
  <si>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</si>
  <si>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</si>
  <si>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</si>
  <si>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</si>
  <si>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</si>
  <si>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</si>
  <si>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</si>
  <si>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</si>
  <si>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</si>
  <si>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</si>
  <si>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</si>
  <si>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</si>
  <si>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</si>
  <si>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</si>
  <si>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</si>
  <si>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</si>
  <si>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</si>
  <si>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</si>
  <si>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</si>
  <si>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</si>
  <si>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</si>
  <si>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</si>
  <si>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</si>
  <si>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</si>
  <si>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</si>
  <si>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</si>
  <si>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</si>
  <si>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</si>
  <si>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</si>
  <si>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</si>
  <si>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</si>
  <si>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</si>
  <si>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</si>
  <si>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</si>
  <si>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</si>
  <si>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</si>
  <si>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</si>
  <si>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</si>
  <si>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</si>
  <si>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</si>
  <si>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</si>
  <si>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</si>
  <si>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</si>
  <si>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</si>
  <si>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</si>
  <si>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</si>
  <si>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</si>
  <si>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</si>
  <si>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</si>
  <si>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</si>
  <si>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</si>
  <si>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</si>
  <si>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</si>
  <si>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</si>
  <si>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</si>
  <si>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</si>
  <si>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</si>
  <si>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</si>
  <si>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</si>
  <si>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</si>
  <si>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</si>
  <si>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</si>
  <si>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</si>
  <si>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</si>
  <si>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</si>
  <si>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</si>
  <si>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</si>
  <si>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</si>
  <si>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</si>
  <si>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</si>
  <si>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</si>
  <si>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</si>
  <si>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</si>
  <si>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</si>
  <si>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</si>
  <si>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</si>
  <si>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</si>
  <si>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</si>
  <si>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</si>
  <si>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</si>
  <si>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</si>
  <si>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</si>
  <si>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</si>
  <si>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</si>
  <si>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</si>
  <si>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</si>
  <si>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</si>
  <si>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</si>
  <si>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</si>
  <si>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</si>
  <si>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</si>
  <si>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</si>
  <si>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</si>
  <si>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</si>
  <si>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</si>
  <si>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</si>
  <si>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</si>
  <si>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</si>
  <si>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</si>
  <si>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</si>
  <si>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</si>
  <si>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</si>
  <si>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</si>
  <si>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</si>
  <si>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</si>
  <si>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</si>
  <si>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</si>
  <si>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</si>
  <si>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</si>
  <si>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</si>
  <si>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</si>
  <si>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</si>
  <si>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</si>
  <si>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</si>
  <si>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</si>
  <si>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</si>
  <si>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</si>
  <si>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</si>
  <si>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</si>
  <si>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</si>
  <si>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</si>
  <si>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</si>
  <si>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</si>
  <si>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</si>
  <si>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</si>
  <si>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</si>
  <si>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</si>
  <si>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</si>
  <si>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</si>
  <si>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</si>
  <si>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</si>
  <si>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</si>
  <si>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</si>
  <si>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</si>
  <si>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</si>
  <si>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</si>
  <si>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</si>
  <si>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</si>
  <si>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</si>
  <si>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</si>
  <si>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</si>
  <si>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</si>
  <si>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</si>
  <si>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</si>
  <si>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</si>
  <si>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</si>
  <si>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</si>
  <si>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</si>
  <si>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</si>
  <si>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</si>
  <si>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</si>
  <si>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</si>
  <si>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</si>
  <si>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</si>
  <si>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</si>
  <si>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</si>
  <si>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</si>
  <si>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</si>
  <si>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</si>
  <si>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</si>
  <si>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</si>
  <si>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</si>
  <si>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</si>
  <si>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</si>
  <si>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</si>
  <si>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</si>
  <si>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</si>
  <si>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</si>
  <si>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</si>
  <si>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</si>
  <si>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</si>
  <si>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</si>
  <si>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</si>
  <si>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</si>
  <si>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</si>
  <si>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</si>
  <si>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</si>
  <si>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</si>
  <si>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</si>
  <si>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</si>
  <si>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</si>
  <si>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</si>
  <si>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</si>
  <si>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</si>
  <si>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</si>
  <si>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</si>
  <si>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</si>
  <si>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</si>
  <si>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</si>
  <si>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</si>
  <si>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</si>
  <si>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</si>
  <si>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</si>
  <si>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</si>
  <si>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</si>
  <si>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</si>
  <si>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</si>
  <si>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</si>
  <si>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</si>
  <si>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</si>
  <si>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</si>
  <si>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</si>
  <si>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</si>
  <si>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</si>
  <si>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</si>
  <si>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</si>
  <si>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</si>
  <si>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</si>
  <si>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</si>
  <si>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</si>
  <si>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</si>
  <si>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</si>
  <si>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</si>
  <si>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</si>
  <si>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</si>
  <si>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</si>
  <si>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</si>
  <si>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</si>
  <si>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</si>
  <si>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</si>
  <si>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</si>
  <si>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</si>
  <si>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</si>
  <si>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</si>
  <si>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</si>
  <si>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</si>
  <si>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</si>
  <si>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</si>
  <si>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</si>
  <si>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</si>
  <si>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</si>
  <si>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</si>
  <si>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</si>
  <si>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</si>
  <si>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</si>
  <si>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</si>
  <si>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</si>
  <si>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</si>
  <si>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</si>
  <si>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</si>
  <si>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</si>
  <si>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</si>
  <si>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</si>
  <si>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</si>
  <si>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</si>
  <si>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</si>
  <si>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</si>
  <si>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</si>
  <si>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</si>
  <si>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</si>
  <si>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</si>
  <si>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</si>
  <si>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</si>
  <si>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</si>
  <si>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</si>
  <si>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</si>
  <si>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</si>
  <si>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</si>
  <si>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</si>
  <si>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</si>
  <si>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</si>
  <si>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</si>
  <si>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</si>
  <si>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</si>
  <si>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</si>
  <si>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</si>
  <si>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</si>
  <si>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</si>
  <si>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</si>
  <si>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</si>
  <si>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</si>
  <si>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</si>
  <si>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</si>
  <si>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</si>
  <si>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</si>
  <si>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</si>
  <si>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</si>
  <si>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</si>
  <si>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</si>
  <si>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</si>
  <si>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</si>
  <si>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</si>
  <si>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</si>
  <si>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</si>
  <si>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</si>
  <si>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</si>
  <si>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</si>
  <si>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</si>
  <si>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</si>
  <si>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</si>
  <si>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</si>
  <si>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</si>
  <si>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</si>
  <si>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</si>
  <si>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</si>
  <si>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</si>
  <si>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</si>
  <si>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</si>
  <si>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</si>
  <si>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</si>
  <si>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</si>
  <si>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</si>
  <si>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</si>
  <si>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</si>
  <si>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</si>
  <si>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</si>
  <si>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</si>
  <si>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</si>
  <si>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</si>
  <si>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</si>
  <si>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</si>
  <si>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</si>
  <si>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</si>
  <si>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</si>
  <si>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</si>
  <si>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</si>
  <si>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</si>
  <si>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</si>
  <si>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</si>
  <si>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</si>
  <si>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</si>
  <si>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</si>
  <si>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</si>
  <si>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</si>
  <si>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</si>
  <si>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</si>
  <si>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</si>
  <si>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</si>
  <si>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</si>
  <si>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</si>
  <si>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</si>
  <si>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</si>
  <si>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</si>
  <si>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</si>
  <si>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</si>
  <si>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</si>
  <si>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</si>
  <si>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</si>
  <si>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</si>
  <si>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</si>
  <si>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</si>
  <si>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</si>
  <si>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</si>
  <si>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</si>
  <si>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</si>
  <si>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</si>
  <si>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</si>
  <si>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</si>
  <si>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</si>
  <si>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</si>
  <si>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</si>
  <si>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</si>
  <si>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</si>
  <si>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</si>
  <si>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</si>
  <si>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</si>
  <si>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</si>
  <si>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</si>
  <si>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</si>
  <si>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</si>
  <si>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</si>
  <si>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</si>
  <si>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</si>
  <si>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</si>
  <si>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</si>
  <si>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</si>
  <si>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</si>
  <si>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</si>
  <si>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</si>
  <si>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</si>
  <si>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</si>
  <si>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</si>
  <si>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</si>
  <si>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GSPK Circuits Ltd</t>
  </si>
  <si>
    <t>GB651388132</t>
  </si>
  <si>
    <t>GB VAT</t>
  </si>
  <si>
    <t>Wetherby Road, Boroughbridge, North Yorkshire, YO51 9UY</t>
  </si>
  <si>
    <t>Faye Appleton</t>
  </si>
  <si>
    <t>faye.appleton@gspkcircuits.ltd.uk</t>
  </si>
  <si>
    <t>01423 798740</t>
  </si>
  <si>
    <t>Quality Systems Officer</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</si>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</sst>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aye.appleton@gspkcircuits.ltd.uk"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faye.appleton@gspkcircuits.ltd.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
      <c r="A4" s="293"/>
      <c r="B4" s="30" t="s">
        <v>845</v>
      </c>
      <c r="C4" s="6"/>
      <c r="D4" s="177"/>
      <c r="E4" s="3"/>
      <c r="F4" s="6"/>
      <c r="G4" s="25"/>
    </row>
    <row r="5" spans="1:7" ht="13.2">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20.399999999999999">
      <c r="A13" s="293"/>
      <c r="B13" s="2">
        <v>1</v>
      </c>
      <c r="C13" s="27" t="s">
        <v>1084</v>
      </c>
      <c r="D13" s="28" t="s">
        <v>872</v>
      </c>
      <c r="E13" s="163" t="s">
        <v>849</v>
      </c>
      <c r="F13" s="163"/>
      <c r="G13" s="25"/>
    </row>
    <row r="14" spans="1:7" ht="30.6">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55" customHeight="1">
      <c r="A29" s="293"/>
      <c r="B29" s="309"/>
      <c r="C29" s="300"/>
      <c r="D29" s="306"/>
      <c r="E29" s="303"/>
      <c r="F29" s="165" t="s">
        <v>61</v>
      </c>
      <c r="G29" s="25"/>
    </row>
    <row r="30" spans="1:7" ht="62.5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5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12.2">
      <c r="A36" s="293"/>
      <c r="B36" s="310"/>
      <c r="C36" s="301"/>
      <c r="D36" s="307"/>
      <c r="E36" s="304"/>
      <c r="F36" s="166" t="s">
        <v>69</v>
      </c>
      <c r="G36" s="25"/>
    </row>
    <row r="37" spans="1:7" ht="102">
      <c r="A37" s="293"/>
      <c r="B37" s="141">
        <v>3.01</v>
      </c>
      <c r="C37" s="142" t="s">
        <v>70</v>
      </c>
      <c r="D37" s="28" t="s">
        <v>2251</v>
      </c>
      <c r="E37" s="167" t="s">
        <v>1323</v>
      </c>
      <c r="F37" s="168" t="s">
        <v>1427</v>
      </c>
      <c r="G37" s="25"/>
    </row>
    <row r="38" spans="1:7" ht="81.599999999999994">
      <c r="A38" s="293"/>
      <c r="B38" s="141">
        <v>3.02</v>
      </c>
      <c r="C38" s="142" t="s">
        <v>1356</v>
      </c>
      <c r="D38" s="28" t="s">
        <v>2252</v>
      </c>
      <c r="E38" s="167" t="s">
        <v>1371</v>
      </c>
      <c r="F38" s="168" t="s">
        <v>1428</v>
      </c>
      <c r="G38" s="25"/>
    </row>
    <row r="39" spans="1:7" ht="81.599999999999994">
      <c r="A39" s="293"/>
      <c r="B39" s="150">
        <v>4</v>
      </c>
      <c r="C39" s="149" t="s">
        <v>1524</v>
      </c>
      <c r="D39" s="28" t="s">
        <v>2253</v>
      </c>
      <c r="E39" s="27" t="s">
        <v>2198</v>
      </c>
      <c r="F39" s="27" t="s">
        <v>1525</v>
      </c>
      <c r="G39" s="25"/>
    </row>
    <row r="40" spans="1:7" ht="40.799999999999997">
      <c r="A40" s="293"/>
      <c r="B40" s="141">
        <v>4.01</v>
      </c>
      <c r="C40" s="149" t="s">
        <v>1524</v>
      </c>
      <c r="D40" s="28" t="s">
        <v>2255</v>
      </c>
      <c r="E40" s="27" t="s">
        <v>2210</v>
      </c>
      <c r="F40" s="27" t="s">
        <v>2214</v>
      </c>
      <c r="G40" s="25"/>
    </row>
    <row r="41" spans="1:7" ht="40.799999999999997">
      <c r="A41" s="293"/>
      <c r="B41" s="141" t="s">
        <v>2242</v>
      </c>
      <c r="C41" s="149" t="s">
        <v>1524</v>
      </c>
      <c r="D41" s="28" t="s">
        <v>2254</v>
      </c>
      <c r="E41" s="27" t="s">
        <v>2245</v>
      </c>
      <c r="F41" s="27" t="s">
        <v>2243</v>
      </c>
      <c r="G41" s="25"/>
    </row>
    <row r="42" spans="1:7" ht="40.799999999999997">
      <c r="A42" s="293"/>
      <c r="B42" s="141" t="s">
        <v>2276</v>
      </c>
      <c r="C42" s="149" t="s">
        <v>1524</v>
      </c>
      <c r="D42" s="28" t="s">
        <v>2281</v>
      </c>
      <c r="E42" s="27" t="s">
        <v>2244</v>
      </c>
      <c r="F42" s="27" t="s">
        <v>2277</v>
      </c>
      <c r="G42" s="25"/>
    </row>
    <row r="43" spans="1:7" ht="112.2">
      <c r="A43" s="293"/>
      <c r="B43" s="160">
        <v>4.0999999999999996</v>
      </c>
      <c r="C43" s="149" t="s">
        <v>2280</v>
      </c>
      <c r="D43" s="161">
        <v>42867</v>
      </c>
      <c r="E43" s="169" t="s">
        <v>2283</v>
      </c>
      <c r="F43" s="27" t="s">
        <v>2282</v>
      </c>
      <c r="G43" s="25"/>
    </row>
    <row r="44" spans="1:7" ht="71.400000000000006">
      <c r="A44" s="293"/>
      <c r="B44" s="160">
        <v>4.2</v>
      </c>
      <c r="C44" s="149" t="s">
        <v>2280</v>
      </c>
      <c r="D44" s="161">
        <v>42704</v>
      </c>
      <c r="E44" s="169" t="s">
        <v>2479</v>
      </c>
      <c r="F44" s="27" t="s">
        <v>2454</v>
      </c>
      <c r="G44" s="25"/>
    </row>
    <row r="45" spans="1:7" ht="132.6">
      <c r="A45" s="293"/>
      <c r="B45" s="202">
        <v>5</v>
      </c>
      <c r="C45" s="149" t="s">
        <v>2280</v>
      </c>
      <c r="D45" s="161">
        <v>42867</v>
      </c>
      <c r="E45" s="169" t="s">
        <v>12705</v>
      </c>
      <c r="F45" s="27" t="s">
        <v>12427</v>
      </c>
      <c r="G45" s="25"/>
    </row>
    <row r="46" spans="1:7" ht="30.6">
      <c r="A46" s="293"/>
      <c r="B46" s="160">
        <v>5.01</v>
      </c>
      <c r="C46" s="149" t="s">
        <v>2280</v>
      </c>
      <c r="D46" s="161">
        <v>42907</v>
      </c>
      <c r="E46" s="169" t="s">
        <v>15521</v>
      </c>
      <c r="F46" s="27" t="s">
        <v>12427</v>
      </c>
      <c r="G46" s="25"/>
    </row>
    <row r="47" spans="1:7" ht="61.2">
      <c r="A47" s="293"/>
      <c r="B47" s="160">
        <v>5.0999999999999996</v>
      </c>
      <c r="C47" s="149" t="s">
        <v>2280</v>
      </c>
      <c r="D47" s="161">
        <v>43070</v>
      </c>
      <c r="E47" s="169" t="s">
        <v>12915</v>
      </c>
      <c r="F47" s="27" t="s">
        <v>12916</v>
      </c>
      <c r="G47" s="25"/>
    </row>
    <row r="48" spans="1:7" ht="51">
      <c r="A48" s="293"/>
      <c r="B48" s="160">
        <v>5.1100000000000003</v>
      </c>
      <c r="C48" s="149" t="s">
        <v>13152</v>
      </c>
      <c r="D48" s="161">
        <v>43217</v>
      </c>
      <c r="E48" s="169" t="s">
        <v>13278</v>
      </c>
      <c r="F48" s="27" t="s">
        <v>13186</v>
      </c>
      <c r="G48" s="25"/>
    </row>
    <row r="49" spans="1:7" ht="51">
      <c r="A49" s="293"/>
      <c r="B49" s="160">
        <v>5.12</v>
      </c>
      <c r="C49" s="149" t="s">
        <v>13152</v>
      </c>
      <c r="D49" s="161">
        <v>43581</v>
      </c>
      <c r="E49" s="169" t="s">
        <v>13278</v>
      </c>
      <c r="F49" s="27" t="s">
        <v>13832</v>
      </c>
      <c r="G49" s="25"/>
    </row>
    <row r="50" spans="1:7" ht="71.400000000000006">
      <c r="A50" s="293"/>
      <c r="B50" s="202">
        <v>6</v>
      </c>
      <c r="C50" s="149" t="s">
        <v>13152</v>
      </c>
      <c r="D50" s="161">
        <v>43964</v>
      </c>
      <c r="E50" s="169" t="s">
        <v>14048</v>
      </c>
      <c r="F50" s="27" t="s">
        <v>13835</v>
      </c>
      <c r="G50" s="25"/>
    </row>
    <row r="51" spans="1:7" ht="40.799999999999997">
      <c r="A51" s="293"/>
      <c r="B51" s="160">
        <v>6.01</v>
      </c>
      <c r="C51" s="149" t="s">
        <v>13152</v>
      </c>
      <c r="D51" s="161">
        <v>43970</v>
      </c>
      <c r="E51" s="169" t="s">
        <v>15522</v>
      </c>
      <c r="F51" s="169" t="s">
        <v>13835</v>
      </c>
      <c r="G51" s="25"/>
    </row>
    <row r="52" spans="1:7" ht="40.799999999999997">
      <c r="A52" s="293"/>
      <c r="B52" s="160">
        <v>6.1</v>
      </c>
      <c r="C52" s="149" t="s">
        <v>13152</v>
      </c>
      <c r="D52" s="161">
        <v>44314</v>
      </c>
      <c r="E52" s="169" t="s">
        <v>15514</v>
      </c>
      <c r="F52" s="169" t="s">
        <v>15043</v>
      </c>
      <c r="G52" s="25"/>
    </row>
    <row r="53" spans="1:7" ht="40.799999999999997">
      <c r="A53" s="293"/>
      <c r="B53" s="160">
        <v>6.2</v>
      </c>
      <c r="C53" s="149" t="s">
        <v>13152</v>
      </c>
      <c r="D53" s="161">
        <v>44678</v>
      </c>
      <c r="E53" s="169" t="s">
        <v>15514</v>
      </c>
      <c r="F53" s="169" t="s">
        <v>15513</v>
      </c>
      <c r="G53" s="25"/>
    </row>
    <row r="54" spans="1:7" ht="40.799999999999997">
      <c r="A54" s="293"/>
      <c r="B54" s="160">
        <v>6.21</v>
      </c>
      <c r="C54" s="149" t="s">
        <v>13152</v>
      </c>
      <c r="D54" s="161">
        <v>44687</v>
      </c>
      <c r="E54" s="169" t="s">
        <v>15523</v>
      </c>
      <c r="F54" s="169" t="s">
        <v>15513</v>
      </c>
      <c r="G54" s="25"/>
    </row>
    <row r="55" spans="1:7" ht="40.799999999999997">
      <c r="A55" s="293"/>
      <c r="B55" s="160">
        <v>6.22</v>
      </c>
      <c r="C55" s="149" t="s">
        <v>13152</v>
      </c>
      <c r="D55" s="275">
        <v>44692</v>
      </c>
      <c r="E55" s="169" t="s">
        <v>15522</v>
      </c>
      <c r="F55" s="169" t="s">
        <v>15513</v>
      </c>
      <c r="G55" s="25"/>
    </row>
    <row r="56" spans="1:7" ht="51">
      <c r="A56" s="293"/>
      <c r="B56" s="202">
        <v>6.3</v>
      </c>
      <c r="C56" s="149" t="s">
        <v>13152</v>
      </c>
      <c r="D56" s="275">
        <v>45051</v>
      </c>
      <c r="E56" s="169" t="s">
        <v>15790</v>
      </c>
      <c r="F56" s="169" t="s">
        <v>15571</v>
      </c>
      <c r="G56" s="25"/>
    </row>
    <row r="57" spans="1:7" ht="40.799999999999997">
      <c r="A57" s="293"/>
      <c r="B57" s="160">
        <v>6.31</v>
      </c>
      <c r="C57" s="149" t="s">
        <v>13152</v>
      </c>
      <c r="D57" s="275">
        <v>45072</v>
      </c>
      <c r="E57" s="169" t="s">
        <v>15792</v>
      </c>
      <c r="F57" s="169" t="s">
        <v>15571</v>
      </c>
      <c r="G57" s="25"/>
    </row>
    <row r="58" spans="1:7" ht="13.2" thickBot="1">
      <c r="A58" s="294"/>
      <c r="B58" s="295" t="str">
        <f ca="1">OFFSET(L!$C$1,MATCH("General"&amp;"Cpy",L!$A:$A,0)-1,SL,,)</f>
        <v>© 2023 Responsible Minerals Initiative. All rights reserved.</v>
      </c>
      <c r="C58" s="295"/>
      <c r="D58" s="295"/>
      <c r="E58" s="295"/>
      <c r="F58" s="295"/>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2" sqref="D22:E22"/>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15800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15799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45113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15803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15803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2480</v>
      </c>
      <c r="D100" s="282" t="str">
        <f>IF(AND(OR($D$27="Yes",$D$27=""),OR($D$33="Yes",$D$33="")),"No","")</f>
        <v>No</v>
      </c>
      <c r="E100" s="282" t="str">
        <f>IF(AND(OR($D$26="Yes",$D$26=""),OR($D$32="Yes",$D$32="")),"50% or less","")</f>
        <v/>
      </c>
      <c r="G100" s="282" t="str">
        <f>IF(OR($D$28="Yes",$D$28=""),"Yes","")</f>
        <v>Yes</v>
      </c>
    </row>
    <row r="101" spans="2:7" ht="15" hidden="1">
      <c r="B101" s="236" t="s">
        <v>2481</v>
      </c>
      <c r="D101" s="282" t="str">
        <f>IF(AND(OR($D$27="Yes",$D$27=""),OR($D$33="Yes",$D$33="")),"Unknown","")</f>
        <v>Unknown</v>
      </c>
      <c r="E101" s="282" t="str">
        <f>IF(AND(OR($D$26="Yes",$D$26=""),OR($D$32="Yes",$D$32="")),"None","")</f>
        <v/>
      </c>
      <c r="G101" s="282" t="str">
        <f>IF(OR($D$28="Yes",$D$28=""),"No","")</f>
        <v>No</v>
      </c>
    </row>
    <row r="102" spans="2:7" ht="15" hidden="1">
      <c r="B102" s="236" t="s">
        <v>2482</v>
      </c>
      <c r="D102" s="282" t="str">
        <f>IF(AND(OR($D$28="Yes",$D$28=""),OR($D$34="Yes",$D$34="")),"Yes","")</f>
        <v>Yes</v>
      </c>
      <c r="E102" s="282" t="str">
        <f>IF(AND(OR($D$27="Yes",$D$27=""),OR($D$33="Yes",$D$33="")),"100%","")</f>
        <v>100%</v>
      </c>
      <c r="G102" s="282" t="str">
        <f>IF(OR($D$29="Yes",$D$29=""),"Yes","")</f>
        <v/>
      </c>
    </row>
    <row r="103" spans="2:7" ht="15" hidden="1">
      <c r="B103" s="236" t="s">
        <v>2483</v>
      </c>
      <c r="D103" s="282" t="str">
        <f>IF(AND(OR($D$28="Yes",$D$28=""),OR($D$34="Yes",$D$34="")),"No","")</f>
        <v>No</v>
      </c>
      <c r="E103" s="282" t="str">
        <f>IF(AND(OR($D$27="Yes",$D$27=""),OR($D$33="Yes",$D$33="")),"Greater than 90%","")</f>
        <v>Greater than 90%</v>
      </c>
      <c r="G103" s="282" t="str">
        <f>IF(OR($D$29="Yes",$D$29=""),"No","")</f>
        <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
      </c>
      <c r="E105" s="282" t="str">
        <f>IF(AND(OR($D$27="Yes",$D$27=""),OR($D$33="Yes",$D$33="")),"Greater than 50%","")</f>
        <v>Greater than 50%</v>
      </c>
    </row>
    <row r="106" spans="2:7" ht="15" hidden="1">
      <c r="B106" s="236" t="s">
        <v>12394</v>
      </c>
      <c r="D106" s="282" t="str">
        <f>IF(AND(OR($D$29="Yes",$D$29=""),OR($D$35="Yes",$D$35="")),"No","")</f>
        <v/>
      </c>
      <c r="E106" s="282" t="str">
        <f>IF(AND(OR($D$27="Yes",$D$27=""),OR($D$33="Yes",$D$33="")),"50% or less","")</f>
        <v>50% or less</v>
      </c>
    </row>
    <row r="107" spans="2:7" ht="15" hidden="1">
      <c r="B107" s="236" t="s">
        <v>489</v>
      </c>
      <c r="D107" s="282" t="str">
        <f>IF(AND(OR($D$29="Yes",$D$29=""),OR($D$35="Yes",$D$35="")),"Unknown","")</f>
        <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1EBFE9E-FA24-48DF-AFF1-0CF9EA524AD3}"/>
    <hyperlink ref="D20" r:id="rId4" xr:uid="{E6C4C345-3539-4C8D-A754-88001C12DC9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5" sqref="D5:D10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650</v>
      </c>
      <c r="B5" s="182" t="str">
        <f ca="1">IF(LEN(A5)=0,"",INDEX('Smelter Look-up'!$A:$A,MATCH($A5,'Smelter Look-up'!$E:$E,0)))</f>
        <v>Gold</v>
      </c>
      <c r="C5" s="186" t="str">
        <f ca="1">IF(LEN(A5)=0,"",INDEX('Smelter Look-up'!$C:$C,MATCH($A5,'Smelter Look-up'!$E:$E,0)))</f>
        <v>Aida Chemical Industries Co., Ltd.</v>
      </c>
      <c r="D5" s="230" t="s">
        <v>2140</v>
      </c>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t="shared" ref="S5" ca="1" si="0">IF(B5="","",IF(ISERROR(MATCH($E5,CL,0)),"Unknown",INDIRECT("'C'!$A$"&amp;MATCH($E5,CL,0)+1)))</f>
        <v>JP</v>
      </c>
      <c r="T5" s="181" t="str">
        <f ca="1">IF(B5="","",IF(ISERROR(MATCH($J5,SorP!$B$1:$B$6279,0)),"",INDIRECT("'SorP'!$A$"&amp;MATCH($S5&amp;$J5,SorP!C:C,0))))</f>
        <v>JP-13</v>
      </c>
      <c r="U5" s="201"/>
      <c r="V5" s="226">
        <f ca="1">IF(C5="",NA(),IF(OR(C5="Smelter not listed",C5="Smelter not yet identified"),MATCH($B5&amp;$D5,'Smelter Look-up'!$J:$J,0),MATCH($B5&amp;$C5,'Smelter Look-up'!$J:$J,0)))</f>
        <v>13</v>
      </c>
      <c r="X5" s="227">
        <f t="shared" ref="X5" ca="1" si="1">IF(AND(C5="Smelter not listed",OR(LEN(D5)=0,LEN(E5)=0)),1,0)</f>
        <v>0</v>
      </c>
      <c r="AB5" s="228" t="str">
        <f t="shared" ref="AB5" ca="1" si="2">B5&amp;C5</f>
        <v>GoldAida Chemical Industries Co., Ltd.</v>
      </c>
    </row>
    <row r="6" spans="1:34" s="227" customFormat="1" ht="19.95" customHeight="1">
      <c r="A6" s="262" t="s">
        <v>651</v>
      </c>
      <c r="B6" s="182" t="str">
        <f ca="1">IF(LEN(A6)=0,"",INDEX('Smelter Look-up'!$A:$A,MATCH($A6,'Smelter Look-up'!$E:$E,0)))</f>
        <v>Gold</v>
      </c>
      <c r="C6" s="186" t="str">
        <f ca="1">IF(LEN(A6)=0,"",INDEX('Smelter Look-up'!$C:$C,MATCH($A6,'Smelter Look-up'!$E:$E,0)))</f>
        <v>Agosi AG</v>
      </c>
      <c r="D6" s="230" t="s">
        <v>52</v>
      </c>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3">IF(B6="","",IF(ISERROR(MATCH($E6,CL,0)),"Unknown",INDIRECT("'C'!$A$"&amp;MATCH($E6,CL,0)+1)))</f>
        <v>DE</v>
      </c>
      <c r="T6" s="181" t="str">
        <f ca="1">IF(B6="","",IF(ISERROR(MATCH($J6,SorP!$B$1:$B$6279,0)),"",INDIRECT("'SorP'!$A$"&amp;MATCH($S6&amp;$J6,SorP!C:C,0))))</f>
        <v>DE-BW</v>
      </c>
      <c r="U6" s="201"/>
      <c r="V6" s="226">
        <f ca="1">IF(C6="",NA(),IF(OR(C6="Smelter not listed",C6="Smelter not yet identified"),MATCH($B6&amp;$D6,'Smelter Look-up'!$J:$J,0),MATCH($B6&amp;$C6,'Smelter Look-up'!$J:$J,0)))</f>
        <v>10</v>
      </c>
      <c r="X6" s="227">
        <f t="shared" ref="X6:X37" ca="1" si="4">IF(AND(C6="Smelter not listed",OR(LEN(D6)=0,LEN(E6)=0)),1,0)</f>
        <v>0</v>
      </c>
      <c r="AB6" s="228" t="str">
        <f t="shared" ref="AB6:AB37" ca="1" si="5">B6&amp;C6</f>
        <v>GoldAgosi AG</v>
      </c>
    </row>
    <row r="7" spans="1:34" s="227" customFormat="1" ht="19.95" customHeight="1">
      <c r="A7" s="262" t="s">
        <v>653</v>
      </c>
      <c r="B7" s="182" t="str">
        <f ca="1">IF(LEN(A7)=0,"",INDEX('Smelter Look-up'!$A:$A,MATCH($A7,'Smelter Look-up'!$E:$E,0)))</f>
        <v>Gold</v>
      </c>
      <c r="C7" s="186" t="str">
        <f ca="1">IF(LEN(A7)=0,"",INDEX('Smelter Look-up'!$C:$C,MATCH($A7,'Smelter Look-up'!$E:$E,0)))</f>
        <v>AngloGold Ashanti Corrego do Sitio Mineracao</v>
      </c>
      <c r="D7" s="230" t="s">
        <v>12428</v>
      </c>
      <c r="E7" s="182" t="str">
        <f ca="1">IF(ISERROR($V7),"",OFFSET('Smelter Look-up'!$D$4,$V7-4,0)&amp;"")</f>
        <v>BRAZIL</v>
      </c>
      <c r="F7" s="182" t="str">
        <f ca="1">IF(ISERROR($V7),"",OFFSET('Smelter Look-up'!$E$4,$V7-4,0))</f>
        <v>CID000058</v>
      </c>
      <c r="G7" s="182" t="str">
        <f ca="1">IF(C7=$X$4,IF(ISERROR($V7),"Enter smelter details","RMI"),IF(ISERROR($V7),"",OFFSET('Smelter Look-up'!$F$4,$V7-4,0)))</f>
        <v>RMI</v>
      </c>
      <c r="H7" s="183">
        <f ca="1">IF(ISERROR($V7),"",OFFSET('Smelter Look-up'!$G$4,$V7-4,0))</f>
        <v>0</v>
      </c>
      <c r="I7" s="184" t="str">
        <f ca="1">IF(ISERROR($V7),"",OFFSET('Smelter Look-up'!$H$4,$V7-4,0))</f>
        <v>Nova Lima</v>
      </c>
      <c r="J7" s="184" t="str">
        <f ca="1">IF(ISERROR($V7),"",OFFSET('Smelter Look-up'!$I$4,$V7-4,0))</f>
        <v>Minas Gerais</v>
      </c>
      <c r="K7" s="224"/>
      <c r="L7" s="224"/>
      <c r="M7" s="224"/>
      <c r="N7" s="224"/>
      <c r="O7" s="224"/>
      <c r="P7" s="185"/>
      <c r="Q7" s="225"/>
      <c r="R7" s="182" t="str">
        <f ca="1">IF(ISERROR($V7),"",OFFSET('Smelter Look-up'!$C$4,$V7-4,0)&amp;"")</f>
        <v>AngloGold Ashanti Corrego do Sitio Mineracao</v>
      </c>
      <c r="S7" s="181" t="str">
        <f t="shared" ca="1" si="3"/>
        <v>BR</v>
      </c>
      <c r="T7" s="181" t="str">
        <f ca="1">IF(B7="","",IF(ISERROR(MATCH($J7,SorP!$B$1:$B$6279,0)),"",INDIRECT("'SorP'!$A$"&amp;MATCH($S7&amp;$J7,SorP!C:C,0))))</f>
        <v>BR-MG</v>
      </c>
      <c r="U7" s="201"/>
      <c r="V7" s="226">
        <f ca="1">IF(C7="",NA(),IF(OR(C7="Smelter not listed",C7="Smelter not yet identified"),MATCH($B7&amp;$D7,'Smelter Look-up'!$J:$J,0),MATCH($B7&amp;$C7,'Smelter Look-up'!$J:$J,0)))</f>
        <v>23</v>
      </c>
      <c r="X7" s="227">
        <f t="shared" ca="1" si="4"/>
        <v>0</v>
      </c>
      <c r="AB7" s="228" t="str">
        <f t="shared" ca="1" si="5"/>
        <v>GoldAngloGold Ashanti Corrego do Sitio Mineracao</v>
      </c>
    </row>
    <row r="8" spans="1:34" s="227" customFormat="1" ht="19.95" customHeight="1">
      <c r="A8" s="262" t="s">
        <v>654</v>
      </c>
      <c r="B8" s="182" t="str">
        <f ca="1">IF(LEN(A8)=0,"",INDEX('Smelter Look-up'!$A:$A,MATCH($A8,'Smelter Look-up'!$E:$E,0)))</f>
        <v>Gold</v>
      </c>
      <c r="C8" s="186" t="str">
        <f ca="1">IF(LEN(A8)=0,"",INDEX('Smelter Look-up'!$C:$C,MATCH($A8,'Smelter Look-up'!$E:$E,0)))</f>
        <v>Argor-Heraeus S.A.</v>
      </c>
      <c r="D8" s="230" t="s">
        <v>2284</v>
      </c>
      <c r="E8" s="182" t="str">
        <f ca="1">IF(ISERROR($V8),"",OFFSET('Smelter Look-up'!$D$4,$V8-4,0)&amp;"")</f>
        <v>SWITZERLAND</v>
      </c>
      <c r="F8" s="182" t="str">
        <f ca="1">IF(ISERROR($V8),"",OFFSET('Smelter Look-up'!$E$4,$V8-4,0))</f>
        <v>CID000077</v>
      </c>
      <c r="G8" s="182" t="str">
        <f ca="1">IF(C8=$X$4,IF(ISERROR($V8),"Enter smelter details","RMI"),IF(ISERROR($V8),"",OFFSET('Smelter Look-up'!$F$4,$V8-4,0)))</f>
        <v>RMI</v>
      </c>
      <c r="H8" s="183">
        <f ca="1">IF(ISERROR($V8),"",OFFSET('Smelter Look-up'!$G$4,$V8-4,0))</f>
        <v>0</v>
      </c>
      <c r="I8" s="184" t="str">
        <f ca="1">IF(ISERROR($V8),"",OFFSET('Smelter Look-up'!$H$4,$V8-4,0))</f>
        <v>Mendrisio</v>
      </c>
      <c r="J8" s="184" t="str">
        <f ca="1">IF(ISERROR($V8),"",OFFSET('Smelter Look-up'!$I$4,$V8-4,0))</f>
        <v>Ticino</v>
      </c>
      <c r="K8" s="224"/>
      <c r="L8" s="224"/>
      <c r="M8" s="224"/>
      <c r="N8" s="224"/>
      <c r="O8" s="224"/>
      <c r="P8" s="185"/>
      <c r="Q8" s="225"/>
      <c r="R8" s="182" t="str">
        <f ca="1">IF(ISERROR($V8),"",OFFSET('Smelter Look-up'!$C$4,$V8-4,0)&amp;"")</f>
        <v>Argor-Heraeus S.A.</v>
      </c>
      <c r="S8" s="181" t="str">
        <f t="shared" ca="1" si="3"/>
        <v>CH</v>
      </c>
      <c r="T8" s="181" t="str">
        <f ca="1">IF(B8="","",IF(ISERROR(MATCH($J8,SorP!$B$1:$B$6279,0)),"",INDIRECT("'SorP'!$A$"&amp;MATCH($S8&amp;$J8,SorP!C:C,0))))</f>
        <v>CH-TI</v>
      </c>
      <c r="U8" s="201"/>
      <c r="V8" s="226">
        <f ca="1">IF(C8="",NA(),IF(OR(C8="Smelter not listed",C8="Smelter not yet identified"),MATCH($B8&amp;$D8,'Smelter Look-up'!$J:$J,0),MATCH($B8&amp;$C8,'Smelter Look-up'!$J:$J,0)))</f>
        <v>28</v>
      </c>
      <c r="X8" s="227">
        <f t="shared" ca="1" si="4"/>
        <v>0</v>
      </c>
      <c r="AB8" s="228" t="str">
        <f t="shared" ca="1" si="5"/>
        <v>GoldArgor-Heraeus S.A.</v>
      </c>
    </row>
    <row r="9" spans="1:34" s="227" customFormat="1" ht="19.95" customHeight="1">
      <c r="A9" s="262" t="s">
        <v>655</v>
      </c>
      <c r="B9" s="182" t="str">
        <f ca="1">IF(LEN(A9)=0,"",INDEX('Smelter Look-up'!$A:$A,MATCH($A9,'Smelter Look-up'!$E:$E,0)))</f>
        <v>Gold</v>
      </c>
      <c r="C9" s="186" t="str">
        <f ca="1">IF(LEN(A9)=0,"",INDEX('Smelter Look-up'!$C:$C,MATCH($A9,'Smelter Look-up'!$E:$E,0)))</f>
        <v>Asahi Pretec Corp.</v>
      </c>
      <c r="D9" s="230" t="s">
        <v>2285</v>
      </c>
      <c r="E9" s="182" t="str">
        <f ca="1">IF(ISERROR($V9),"",OFFSET('Smelter Look-up'!$D$4,$V9-4,0)&amp;"")</f>
        <v>JAPAN</v>
      </c>
      <c r="F9" s="182" t="str">
        <f ca="1">IF(ISERROR($V9),"",OFFSET('Smelter Look-up'!$E$4,$V9-4,0))</f>
        <v>CID000082</v>
      </c>
      <c r="G9" s="182" t="str">
        <f ca="1">IF(C9=$X$4,IF(ISERROR($V9),"Enter smelter details","RMI"),IF(ISERROR($V9),"",OFFSET('Smelter Look-up'!$F$4,$V9-4,0)))</f>
        <v>RMI</v>
      </c>
      <c r="H9" s="183">
        <f ca="1">IF(ISERROR($V9),"",OFFSET('Smelter Look-up'!$G$4,$V9-4,0))</f>
        <v>0</v>
      </c>
      <c r="I9" s="184" t="str">
        <f ca="1">IF(ISERROR($V9),"",OFFSET('Smelter Look-up'!$H$4,$V9-4,0))</f>
        <v>Kobe</v>
      </c>
      <c r="J9" s="184" t="str">
        <f ca="1">IF(ISERROR($V9),"",OFFSET('Smelter Look-up'!$I$4,$V9-4,0))</f>
        <v>Hyogo</v>
      </c>
      <c r="K9" s="224"/>
      <c r="L9" s="224"/>
      <c r="M9" s="224"/>
      <c r="N9" s="224"/>
      <c r="O9" s="224"/>
      <c r="P9" s="185"/>
      <c r="Q9" s="225"/>
      <c r="R9" s="182" t="str">
        <f ca="1">IF(ISERROR($V9),"",OFFSET('Smelter Look-up'!$C$4,$V9-4,0)&amp;"")</f>
        <v>Asahi Pretec Corp.</v>
      </c>
      <c r="S9" s="181" t="str">
        <f t="shared" ca="1" si="3"/>
        <v>JP</v>
      </c>
      <c r="T9" s="181" t="str">
        <f ca="1">IF(B9="","",IF(ISERROR(MATCH($J9,SorP!$B$1:$B$6279,0)),"",INDIRECT("'SorP'!$A$"&amp;MATCH($S9&amp;$J9,SorP!C:C,0))))</f>
        <v>JP-28</v>
      </c>
      <c r="U9" s="201"/>
      <c r="V9" s="226">
        <f ca="1">IF(C9="",NA(),IF(OR(C9="Smelter not listed",C9="Smelter not yet identified"),MATCH($B9&amp;$D9,'Smelter Look-up'!$J:$J,0),MATCH($B9&amp;$C9,'Smelter Look-up'!$J:$J,0)))</f>
        <v>29</v>
      </c>
      <c r="X9" s="227">
        <f t="shared" ca="1" si="4"/>
        <v>0</v>
      </c>
      <c r="AB9" s="228" t="str">
        <f t="shared" ca="1" si="5"/>
        <v>GoldAsahi Pretec Corp.</v>
      </c>
    </row>
    <row r="10" spans="1:34" s="227" customFormat="1" ht="19.95" customHeight="1">
      <c r="A10" s="262" t="s">
        <v>687</v>
      </c>
      <c r="B10" s="182" t="str">
        <f ca="1">IF(LEN(A10)=0,"",INDEX('Smelter Look-up'!$A:$A,MATCH($A10,'Smelter Look-up'!$E:$E,0)))</f>
        <v>Gold</v>
      </c>
      <c r="C10" s="186" t="str">
        <f ca="1">IF(LEN(A10)=0,"",INDEX('Smelter Look-up'!$C:$C,MATCH($A10,'Smelter Look-up'!$E:$E,0)))</f>
        <v>Asahi Refining Canada Ltd.</v>
      </c>
      <c r="D10" s="230" t="s">
        <v>2286</v>
      </c>
      <c r="E10" s="182" t="str">
        <f ca="1">IF(ISERROR($V10),"",OFFSET('Smelter Look-up'!$D$4,$V10-4,0)&amp;"")</f>
        <v>CANADA</v>
      </c>
      <c r="F10" s="182" t="str">
        <f ca="1">IF(ISERROR($V10),"",OFFSET('Smelter Look-up'!$E$4,$V10-4,0))</f>
        <v>CID000924</v>
      </c>
      <c r="G10" s="182" t="str">
        <f ca="1">IF(C10=$X$4,IF(ISERROR($V10),"Enter smelter details","RMI"),IF(ISERROR($V10),"",OFFSET('Smelter Look-up'!$F$4,$V10-4,0)))</f>
        <v>RMI</v>
      </c>
      <c r="H10" s="183">
        <f ca="1">IF(ISERROR($V10),"",OFFSET('Smelter Look-up'!$G$4,$V10-4,0))</f>
        <v>0</v>
      </c>
      <c r="I10" s="184" t="str">
        <f ca="1">IF(ISERROR($V10),"",OFFSET('Smelter Look-up'!$H$4,$V10-4,0))</f>
        <v>Brampton</v>
      </c>
      <c r="J10" s="184" t="str">
        <f ca="1">IF(ISERROR($V10),"",OFFSET('Smelter Look-up'!$I$4,$V10-4,0))</f>
        <v>Ontario</v>
      </c>
      <c r="K10" s="224"/>
      <c r="L10" s="224"/>
      <c r="M10" s="224"/>
      <c r="N10" s="224"/>
      <c r="O10" s="224"/>
      <c r="P10" s="185"/>
      <c r="Q10" s="225"/>
      <c r="R10" s="182" t="str">
        <f ca="1">IF(ISERROR($V10),"",OFFSET('Smelter Look-up'!$C$4,$V10-4,0)&amp;"")</f>
        <v>Asahi Refining Canada Ltd.</v>
      </c>
      <c r="S10" s="181" t="str">
        <f t="shared" ca="1" si="3"/>
        <v>CA</v>
      </c>
      <c r="T10" s="181" t="str">
        <f ca="1">IF(B10="","",IF(ISERROR(MATCH($J10,SorP!$B$1:$B$6279,0)),"",INDIRECT("'SorP'!$A$"&amp;MATCH($S10&amp;$J10,SorP!C:C,0))))</f>
        <v>CA-ON</v>
      </c>
      <c r="U10" s="201"/>
      <c r="V10" s="226">
        <f ca="1">IF(C10="",NA(),IF(OR(C10="Smelter not listed",C10="Smelter not yet identified"),MATCH($B10&amp;$D10,'Smelter Look-up'!$J:$J,0),MATCH($B10&amp;$C10,'Smelter Look-up'!$J:$J,0)))</f>
        <v>30</v>
      </c>
      <c r="X10" s="227">
        <f t="shared" ca="1" si="4"/>
        <v>0</v>
      </c>
      <c r="AB10" s="228" t="str">
        <f t="shared" ca="1" si="5"/>
        <v>GoldAsahi Refining Canada Ltd.</v>
      </c>
    </row>
    <row r="11" spans="1:34" s="227" customFormat="1" ht="19.95" customHeight="1">
      <c r="A11" s="262" t="s">
        <v>686</v>
      </c>
      <c r="B11" s="182" t="str">
        <f ca="1">IF(LEN(A11)=0,"",INDEX('Smelter Look-up'!$A:$A,MATCH($A11,'Smelter Look-up'!$E:$E,0)))</f>
        <v>Gold</v>
      </c>
      <c r="C11" s="186" t="str">
        <f ca="1">IF(LEN(A11)=0,"",INDEX('Smelter Look-up'!$C:$C,MATCH($A11,'Smelter Look-up'!$E:$E,0)))</f>
        <v>Asahi Refining USA Inc.</v>
      </c>
      <c r="D11" s="230" t="s">
        <v>2200</v>
      </c>
      <c r="E11" s="182" t="str">
        <f ca="1">IF(ISERROR($V11),"",OFFSET('Smelter Look-up'!$D$4,$V11-4,0)&amp;"")</f>
        <v>UNITED STATES OF AMERICA</v>
      </c>
      <c r="F11" s="182" t="str">
        <f ca="1">IF(ISERROR($V11),"",OFFSET('Smelter Look-up'!$E$4,$V11-4,0))</f>
        <v>CID000920</v>
      </c>
      <c r="G11" s="182" t="str">
        <f ca="1">IF(C11=$X$4,IF(ISERROR($V11),"Enter smelter details","RMI"),IF(ISERROR($V11),"",OFFSET('Smelter Look-up'!$F$4,$V11-4,0)))</f>
        <v>RMI</v>
      </c>
      <c r="H11" s="183">
        <f ca="1">IF(ISERROR($V11),"",OFFSET('Smelter Look-up'!$G$4,$V11-4,0))</f>
        <v>0</v>
      </c>
      <c r="I11" s="184" t="str">
        <f ca="1">IF(ISERROR($V11),"",OFFSET('Smelter Look-up'!$H$4,$V11-4,0))</f>
        <v>Salt Lake City</v>
      </c>
      <c r="J11" s="184" t="str">
        <f ca="1">IF(ISERROR($V11),"",OFFSET('Smelter Look-up'!$I$4,$V11-4,0))</f>
        <v>Utah</v>
      </c>
      <c r="K11" s="224"/>
      <c r="L11" s="224"/>
      <c r="M11" s="224"/>
      <c r="N11" s="224"/>
      <c r="O11" s="224"/>
      <c r="P11" s="185"/>
      <c r="Q11" s="225"/>
      <c r="R11" s="182" t="str">
        <f ca="1">IF(ISERROR($V11),"",OFFSET('Smelter Look-up'!$C$4,$V11-4,0)&amp;"")</f>
        <v>Asahi Refining USA Inc.</v>
      </c>
      <c r="S11" s="181" t="str">
        <f t="shared" ca="1" si="3"/>
        <v>US</v>
      </c>
      <c r="T11" s="181" t="str">
        <f ca="1">IF(B11="","",IF(ISERROR(MATCH($J11,SorP!$B$1:$B$6279,0)),"",INDIRECT("'SorP'!$A$"&amp;MATCH($S11&amp;$J11,SorP!C:C,0))))</f>
        <v>US-UT</v>
      </c>
      <c r="U11" s="201"/>
      <c r="V11" s="226">
        <f ca="1">IF(C11="",NA(),IF(OR(C11="Smelter not listed",C11="Smelter not yet identified"),MATCH($B11&amp;$D11,'Smelter Look-up'!$J:$J,0),MATCH($B11&amp;$C11,'Smelter Look-up'!$J:$J,0)))</f>
        <v>31</v>
      </c>
      <c r="X11" s="227">
        <f t="shared" ca="1" si="4"/>
        <v>0</v>
      </c>
      <c r="AB11" s="228" t="str">
        <f t="shared" ca="1" si="5"/>
        <v>GoldAsahi Refining USA Inc.</v>
      </c>
    </row>
    <row r="12" spans="1:34" s="227" customFormat="1" ht="19.95" customHeight="1">
      <c r="A12" s="262" t="s">
        <v>656</v>
      </c>
      <c r="B12" s="182" t="str">
        <f ca="1">IF(LEN(A12)=0,"",INDEX('Smelter Look-up'!$A:$A,MATCH($A12,'Smelter Look-up'!$E:$E,0)))</f>
        <v>Gold</v>
      </c>
      <c r="C12" s="186" t="str">
        <f ca="1">IF(LEN(A12)=0,"",INDEX('Smelter Look-up'!$C:$C,MATCH($A12,'Smelter Look-up'!$E:$E,0)))</f>
        <v>Asaka Riken Co., Ltd.</v>
      </c>
      <c r="D12" s="230" t="s">
        <v>2141</v>
      </c>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3"/>
        <v>JP</v>
      </c>
      <c r="T12" s="181" t="str">
        <f ca="1">IF(B12="","",IF(ISERROR(MATCH($J12,SorP!$B$1:$B$6279,0)),"",INDIRECT("'SorP'!$A$"&amp;MATCH($S12&amp;$J12,SorP!C:C,0))))</f>
        <v>JP-07</v>
      </c>
      <c r="U12" s="201"/>
      <c r="V12" s="226">
        <f ca="1">IF(C12="",NA(),IF(OR(C12="Smelter not listed",C12="Smelter not yet identified"),MATCH($B12&amp;$D12,'Smelter Look-up'!$J:$J,0),MATCH($B12&amp;$C12,'Smelter Look-up'!$J:$J,0)))</f>
        <v>32</v>
      </c>
      <c r="X12" s="227">
        <f t="shared" ca="1" si="4"/>
        <v>0</v>
      </c>
      <c r="AB12" s="228" t="str">
        <f t="shared" ca="1" si="5"/>
        <v>GoldAsaka Riken Co., Ltd.</v>
      </c>
    </row>
    <row r="13" spans="1:34" s="227" customFormat="1" ht="19.95" customHeight="1">
      <c r="A13" s="262" t="s">
        <v>658</v>
      </c>
      <c r="B13" s="182" t="str">
        <f ca="1">IF(LEN(A13)=0,"",INDEX('Smelter Look-up'!$A:$A,MATCH($A13,'Smelter Look-up'!$E:$E,0)))</f>
        <v>Gold</v>
      </c>
      <c r="C13" s="186" t="str">
        <f ca="1">IF(LEN(A13)=0,"",INDEX('Smelter Look-up'!$C:$C,MATCH($A13,'Smelter Look-up'!$E:$E,0)))</f>
        <v>Aurubis AG</v>
      </c>
      <c r="D13" s="230" t="s">
        <v>1219</v>
      </c>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c r="N13" s="224"/>
      <c r="O13" s="224"/>
      <c r="P13" s="185"/>
      <c r="Q13" s="225"/>
      <c r="R13" s="182" t="str">
        <f ca="1">IF(ISERROR($V13),"",OFFSET('Smelter Look-up'!$C$4,$V13-4,0)&amp;"")</f>
        <v>Aurubis AG</v>
      </c>
      <c r="S13" s="181" t="str">
        <f t="shared" ca="1" si="3"/>
        <v>DE</v>
      </c>
      <c r="T13" s="181" t="str">
        <f ca="1">IF(B13="","",IF(ISERROR(MATCH($J13,SorP!$B$1:$B$6279,0)),"",INDIRECT("'SorP'!$A$"&amp;MATCH($S13&amp;$J13,SorP!C:C,0))))</f>
        <v>DE-HH</v>
      </c>
      <c r="U13" s="201"/>
      <c r="V13" s="226">
        <f ca="1">IF(C13="",NA(),IF(OR(C13="Smelter not listed",C13="Smelter not yet identified"),MATCH($B13&amp;$D13,'Smelter Look-up'!$J:$J,0),MATCH($B13&amp;$C13,'Smelter Look-up'!$J:$J,0)))</f>
        <v>37</v>
      </c>
      <c r="X13" s="227">
        <f t="shared" ca="1" si="4"/>
        <v>0</v>
      </c>
      <c r="AB13" s="228" t="str">
        <f t="shared" ca="1" si="5"/>
        <v>GoldAurubis AG</v>
      </c>
    </row>
    <row r="14" spans="1:34" s="227" customFormat="1" ht="19.95" customHeight="1">
      <c r="A14" s="262" t="s">
        <v>660</v>
      </c>
      <c r="B14" s="182" t="str">
        <f ca="1">IF(LEN(A14)=0,"",INDEX('Smelter Look-up'!$A:$A,MATCH($A14,'Smelter Look-up'!$E:$E,0)))</f>
        <v>Gold</v>
      </c>
      <c r="C14" s="186" t="str">
        <f ca="1">IF(LEN(A14)=0,"",INDEX('Smelter Look-up'!$C:$C,MATCH($A14,'Smelter Look-up'!$E:$E,0)))</f>
        <v>Boliden AB</v>
      </c>
      <c r="D14" s="230" t="s">
        <v>1221</v>
      </c>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AB</v>
      </c>
      <c r="S14" s="181" t="str">
        <f t="shared" ca="1" si="3"/>
        <v>SE</v>
      </c>
      <c r="T14" s="181" t="str">
        <f ca="1">IF(B14="","",IF(ISERROR(MATCH($J14,SorP!$B$1:$B$6279,0)),"",INDIRECT("'SorP'!$A$"&amp;MATCH($S14&amp;$J14,SorP!C:C,0))))</f>
        <v>SE-AC</v>
      </c>
      <c r="U14" s="201"/>
      <c r="V14" s="226">
        <f ca="1">IF(C14="",NA(),IF(OR(C14="Smelter not listed",C14="Smelter not yet identified"),MATCH($B14&amp;$D14,'Smelter Look-up'!$J:$J,0),MATCH($B14&amp;$C14,'Smelter Look-up'!$J:$J,0)))</f>
        <v>42</v>
      </c>
      <c r="X14" s="227">
        <f t="shared" ca="1" si="4"/>
        <v>0</v>
      </c>
      <c r="AB14" s="228" t="str">
        <f t="shared" ca="1" si="5"/>
        <v>GoldBoliden AB</v>
      </c>
    </row>
    <row r="15" spans="1:34" s="227" customFormat="1" ht="19.95" customHeight="1">
      <c r="A15" s="262" t="s">
        <v>662</v>
      </c>
      <c r="B15" s="182" t="str">
        <f ca="1">IF(LEN(A15)=0,"",INDEX('Smelter Look-up'!$A:$A,MATCH($A15,'Smelter Look-up'!$E:$E,0)))</f>
        <v>Gold</v>
      </c>
      <c r="C15" s="186" t="str">
        <f ca="1">IF(LEN(A15)=0,"",INDEX('Smelter Look-up'!$C:$C,MATCH($A15,'Smelter Look-up'!$E:$E,0)))</f>
        <v>C. Hafner GmbH + Co. KG</v>
      </c>
      <c r="D15" s="230" t="s">
        <v>661</v>
      </c>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3"/>
        <v>DE</v>
      </c>
      <c r="T15" s="181" t="str">
        <f ca="1">IF(B15="","",IF(ISERROR(MATCH($J15,SorP!$B$1:$B$6279,0)),"",INDIRECT("'SorP'!$A$"&amp;MATCH($S15&amp;$J15,SorP!C:C,0))))</f>
        <v>DE-BW</v>
      </c>
      <c r="U15" s="201"/>
      <c r="V15" s="226">
        <f ca="1">IF(C15="",NA(),IF(OR(C15="Smelter not listed",C15="Smelter not yet identified"),MATCH($B15&amp;$D15,'Smelter Look-up'!$J:$J,0),MATCH($B15&amp;$C15,'Smelter Look-up'!$J:$J,0)))</f>
        <v>43</v>
      </c>
      <c r="X15" s="227">
        <f t="shared" ca="1" si="4"/>
        <v>0</v>
      </c>
      <c r="AB15" s="228" t="str">
        <f t="shared" ca="1" si="5"/>
        <v>GoldC. Hafner GmbH + Co. KG</v>
      </c>
    </row>
    <row r="16" spans="1:34" s="227" customFormat="1" ht="19.95" customHeight="1">
      <c r="A16" s="262" t="s">
        <v>666</v>
      </c>
      <c r="B16" s="182" t="str">
        <f ca="1">IF(LEN(A16)=0,"",INDEX('Smelter Look-up'!$A:$A,MATCH($A16,'Smelter Look-up'!$E:$E,0)))</f>
        <v>Gold</v>
      </c>
      <c r="C16" s="186" t="str">
        <f ca="1">IF(LEN(A16)=0,"",INDEX('Smelter Look-up'!$C:$C,MATCH($A16,'Smelter Look-up'!$E:$E,0)))</f>
        <v>Chimet S.p.A.</v>
      </c>
      <c r="D16" s="230" t="s">
        <v>53</v>
      </c>
      <c r="E16" s="182" t="str">
        <f ca="1">IF(ISERROR($V16),"",OFFSET('Smelter Look-up'!$D$4,$V16-4,0)&amp;"")</f>
        <v>ITALY</v>
      </c>
      <c r="F16" s="182" t="str">
        <f ca="1">IF(ISERROR($V16),"",OFFSET('Smelter Look-up'!$E$4,$V16-4,0))</f>
        <v>CID000233</v>
      </c>
      <c r="G16" s="182" t="str">
        <f ca="1">IF(C16=$X$4,IF(ISERROR($V16),"Enter smelter details","RMI"),IF(ISERROR($V16),"",OFFSET('Smelter Look-up'!$F$4,$V16-4,0)))</f>
        <v>RMI</v>
      </c>
      <c r="H16" s="183">
        <f ca="1">IF(ISERROR($V16),"",OFFSET('Smelter Look-up'!$G$4,$V16-4,0))</f>
        <v>0</v>
      </c>
      <c r="I16" s="184" t="str">
        <f ca="1">IF(ISERROR($V16),"",OFFSET('Smelter Look-up'!$H$4,$V16-4,0))</f>
        <v>Arezzo</v>
      </c>
      <c r="J16" s="184" t="str">
        <f ca="1">IF(ISERROR($V16),"",OFFSET('Smelter Look-up'!$I$4,$V16-4,0))</f>
        <v>Toscana</v>
      </c>
      <c r="K16" s="224"/>
      <c r="L16" s="224"/>
      <c r="M16" s="224"/>
      <c r="N16" s="224"/>
      <c r="O16" s="224"/>
      <c r="P16" s="185"/>
      <c r="Q16" s="225"/>
      <c r="R16" s="182" t="str">
        <f ca="1">IF(ISERROR($V16),"",OFFSET('Smelter Look-up'!$C$4,$V16-4,0)&amp;"")</f>
        <v>Chimet S.p.A.</v>
      </c>
      <c r="S16" s="181" t="str">
        <f t="shared" ca="1" si="3"/>
        <v>IT</v>
      </c>
      <c r="T16" s="181" t="str">
        <f ca="1">IF(B16="","",IF(ISERROR(MATCH($J16,SorP!$B$1:$B$6279,0)),"",INDIRECT("'SorP'!$A$"&amp;MATCH($S16&amp;$J16,SorP!C:C,0))))</f>
        <v>IT-52</v>
      </c>
      <c r="U16" s="201"/>
      <c r="V16" s="226">
        <f ca="1">IF(C16="",NA(),IF(OR(C16="Smelter not listed",C16="Smelter not yet identified"),MATCH($B16&amp;$D16,'Smelter Look-up'!$J:$J,0),MATCH($B16&amp;$C16,'Smelter Look-up'!$J:$J,0)))</f>
        <v>55</v>
      </c>
      <c r="X16" s="227">
        <f t="shared" ca="1" si="4"/>
        <v>0</v>
      </c>
      <c r="AB16" s="228" t="str">
        <f t="shared" ca="1" si="5"/>
        <v>GoldChimet S.p.A.</v>
      </c>
    </row>
    <row r="17" spans="1:28" s="227" customFormat="1" ht="19.95" customHeight="1">
      <c r="A17" s="262" t="s">
        <v>671</v>
      </c>
      <c r="B17" s="182" t="str">
        <f ca="1">IF(LEN(A17)=0,"",INDEX('Smelter Look-up'!$A:$A,MATCH($A17,'Smelter Look-up'!$E:$E,0)))</f>
        <v>Gold</v>
      </c>
      <c r="C17" s="186" t="str">
        <f ca="1">IF(LEN(A17)=0,"",INDEX('Smelter Look-up'!$C:$C,MATCH($A17,'Smelter Look-up'!$E:$E,0)))</f>
        <v>Dowa</v>
      </c>
      <c r="D17" s="230" t="s">
        <v>902</v>
      </c>
      <c r="E17" s="182" t="str">
        <f ca="1">IF(ISERROR($V17),"",OFFSET('Smelter Look-up'!$D$4,$V17-4,0)&amp;"")</f>
        <v>JAPAN</v>
      </c>
      <c r="F17" s="182" t="str">
        <f ca="1">IF(ISERROR($V17),"",OFFSET('Smelter Look-up'!$E$4,$V17-4,0))</f>
        <v>CID000401</v>
      </c>
      <c r="G17" s="182" t="str">
        <f ca="1">IF(C17=$X$4,IF(ISERROR($V17),"Enter smelter details","RMI"),IF(ISERROR($V17),"",OFFSET('Smelter Look-up'!$F$4,$V17-4,0)))</f>
        <v>RMI</v>
      </c>
      <c r="H17" s="183">
        <f ca="1">IF(ISERROR($V17),"",OFFSET('Smelter Look-up'!$G$4,$V17-4,0))</f>
        <v>0</v>
      </c>
      <c r="I17" s="184" t="str">
        <f ca="1">IF(ISERROR($V17),"",OFFSET('Smelter Look-up'!$H$4,$V17-4,0))</f>
        <v>Kosaka</v>
      </c>
      <c r="J17" s="184" t="str">
        <f ca="1">IF(ISERROR($V17),"",OFFSET('Smelter Look-up'!$I$4,$V17-4,0))</f>
        <v>Akita</v>
      </c>
      <c r="K17" s="224"/>
      <c r="L17" s="224"/>
      <c r="M17" s="224"/>
      <c r="N17" s="224"/>
      <c r="O17" s="224"/>
      <c r="P17" s="185"/>
      <c r="Q17" s="225"/>
      <c r="R17" s="182" t="str">
        <f ca="1">IF(ISERROR($V17),"",OFFSET('Smelter Look-up'!$C$4,$V17-4,0)&amp;"")</f>
        <v>Dowa</v>
      </c>
      <c r="S17" s="181" t="str">
        <f t="shared" ca="1" si="3"/>
        <v>JP</v>
      </c>
      <c r="T17" s="181" t="str">
        <f ca="1">IF(B17="","",IF(ISERROR(MATCH($J17,SorP!$B$1:$B$6279,0)),"",INDIRECT("'SorP'!$A$"&amp;MATCH($S17&amp;$J17,SorP!C:C,0))))</f>
        <v>JP-05</v>
      </c>
      <c r="U17" s="201"/>
      <c r="V17" s="226">
        <f ca="1">IF(C17="",NA(),IF(OR(C17="Smelter not listed",C17="Smelter not yet identified"),MATCH($B17&amp;$D17,'Smelter Look-up'!$J:$J,0),MATCH($B17&amp;$C17,'Smelter Look-up'!$J:$J,0)))</f>
        <v>67</v>
      </c>
      <c r="X17" s="227">
        <f t="shared" ca="1" si="4"/>
        <v>0</v>
      </c>
      <c r="AB17" s="228" t="str">
        <f t="shared" ca="1" si="5"/>
        <v>GoldDowa</v>
      </c>
    </row>
    <row r="18" spans="1:28" s="227" customFormat="1" ht="19.95" customHeight="1">
      <c r="A18" s="181" t="s">
        <v>397</v>
      </c>
      <c r="B18" s="182" t="str">
        <f ca="1">IF(LEN(A18)=0,"",INDEX('Smelter Look-up'!$A:$A,MATCH($A18,'Smelter Look-up'!$E:$E,0)))</f>
        <v>Gold</v>
      </c>
      <c r="C18" s="186" t="str">
        <f ca="1">IF(LEN(A18)=0,"",INDEX('Smelter Look-up'!$C:$C,MATCH($A18,'Smelter Look-up'!$E:$E,0)))</f>
        <v>Eco-System Recycling Co., Ltd. East Plant</v>
      </c>
      <c r="D18" s="230" t="s">
        <v>13839</v>
      </c>
      <c r="E18" s="182" t="str">
        <f ca="1">IF(ISERROR($V18),"",OFFSET('Smelter Look-up'!$D$4,$V18-4,0)&amp;"")</f>
        <v>JAPAN</v>
      </c>
      <c r="F18" s="182" t="str">
        <f ca="1">IF(ISERROR($V18),"",OFFSET('Smelter Look-up'!$E$4,$V18-4,0))</f>
        <v>CID000425</v>
      </c>
      <c r="G18" s="182" t="str">
        <f ca="1">IF(C18=$X$4,IF(ISERROR($V18),"Enter smelter details","RMI"),IF(ISERROR($V18),"",OFFSET('Smelter Look-up'!$F$4,$V18-4,0)))</f>
        <v>RMI</v>
      </c>
      <c r="H18" s="183">
        <f ca="1">IF(ISERROR($V18),"",OFFSET('Smelter Look-up'!$G$4,$V18-4,0))</f>
        <v>0</v>
      </c>
      <c r="I18" s="184" t="str">
        <f ca="1">IF(ISERROR($V18),"",OFFSET('Smelter Look-up'!$H$4,$V18-4,0))</f>
        <v>Honjo</v>
      </c>
      <c r="J18" s="184" t="str">
        <f ca="1">IF(ISERROR($V18),"",OFFSET('Smelter Look-up'!$I$4,$V18-4,0))</f>
        <v>Saitama</v>
      </c>
      <c r="K18" s="224"/>
      <c r="L18" s="224"/>
      <c r="M18" s="224"/>
      <c r="N18" s="224"/>
      <c r="O18" s="224"/>
      <c r="P18" s="185"/>
      <c r="Q18" s="225"/>
      <c r="R18" s="182" t="str">
        <f ca="1">IF(ISERROR($V18),"",OFFSET('Smelter Look-up'!$C$4,$V18-4,0)&amp;"")</f>
        <v>Eco-System Recycling Co., Ltd. East Plant</v>
      </c>
      <c r="S18" s="181" t="str">
        <f t="shared" ca="1" si="3"/>
        <v>JP</v>
      </c>
      <c r="T18" s="181" t="str">
        <f ca="1">IF(B18="","",IF(ISERROR(MATCH($J18,SorP!$B$1:$B$6279,0)),"",INDIRECT("'SorP'!$A$"&amp;MATCH($S18&amp;$J18,SorP!C:C,0))))</f>
        <v>JP-11</v>
      </c>
      <c r="U18" s="201"/>
      <c r="V18" s="226">
        <f ca="1">IF(C18="",NA(),IF(OR(C18="Smelter not listed",C18="Smelter not yet identified"),MATCH($B18&amp;$D18,'Smelter Look-up'!$J:$J,0),MATCH($B18&amp;$C18,'Smelter Look-up'!$J:$J,0)))</f>
        <v>72</v>
      </c>
      <c r="X18" s="227">
        <f t="shared" ca="1" si="4"/>
        <v>0</v>
      </c>
      <c r="AB18" s="228" t="str">
        <f t="shared" ca="1" si="5"/>
        <v>GoldEco-System Recycling Co., Ltd. East Plant</v>
      </c>
    </row>
    <row r="19" spans="1:28" s="227" customFormat="1" ht="50.4">
      <c r="A19" s="181" t="s">
        <v>676</v>
      </c>
      <c r="B19" s="182" t="str">
        <f ca="1">IF(LEN(A19)=0,"",INDEX('Smelter Look-up'!$A:$A,MATCH($A19,'Smelter Look-up'!$E:$E,0)))</f>
        <v>Gold</v>
      </c>
      <c r="C19" s="186" t="str">
        <f ca="1">IF(LEN(A19)=0,"",INDEX('Smelter Look-up'!$C:$C,MATCH($A19,'Smelter Look-up'!$E:$E,0)))</f>
        <v>Heimerle + Meule GmbH</v>
      </c>
      <c r="D19" s="230" t="s">
        <v>1035</v>
      </c>
      <c r="E19" s="182" t="str">
        <f ca="1">IF(ISERROR($V19),"",OFFSET('Smelter Look-up'!$D$4,$V19-4,0)&amp;"")</f>
        <v>GERMANY</v>
      </c>
      <c r="F19" s="182" t="str">
        <f ca="1">IF(ISERROR($V19),"",OFFSET('Smelter Look-up'!$E$4,$V19-4,0))</f>
        <v>CID000694</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Heimerle + Meule GmbH</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101</v>
      </c>
      <c r="X19" s="227">
        <f t="shared" ca="1" si="4"/>
        <v>0</v>
      </c>
      <c r="AB19" s="228" t="str">
        <f t="shared" ca="1" si="5"/>
        <v>GoldHeimerle + Meule GmbH</v>
      </c>
    </row>
    <row r="20" spans="1:28" s="227" customFormat="1" ht="63">
      <c r="A20" s="181" t="s">
        <v>678</v>
      </c>
      <c r="B20" s="182" t="str">
        <f ca="1">IF(LEN(A20)=0,"",INDEX('Smelter Look-up'!$A:$A,MATCH($A20,'Smelter Look-up'!$E:$E,0)))</f>
        <v>Gold</v>
      </c>
      <c r="C20" s="186" t="str">
        <f ca="1">IF(LEN(A20)=0,"",INDEX('Smelter Look-up'!$C:$C,MATCH($A20,'Smelter Look-up'!$E:$E,0)))</f>
        <v>Heraeus Germany GmbH Co. KG</v>
      </c>
      <c r="D20" s="230" t="s">
        <v>15058</v>
      </c>
      <c r="E20" s="182" t="str">
        <f ca="1">IF(ISERROR($V20),"",OFFSET('Smelter Look-up'!$D$4,$V20-4,0)&amp;"")</f>
        <v>GERMANY</v>
      </c>
      <c r="F20" s="182" t="str">
        <f ca="1">IF(ISERROR($V20),"",OFFSET('Smelter Look-up'!$E$4,$V20-4,0))</f>
        <v>CID000711</v>
      </c>
      <c r="G20" s="182" t="str">
        <f ca="1">IF(C20=$X$4,IF(ISERROR($V20),"Enter smelter details","RMI"),IF(ISERROR($V20),"",OFFSET('Smelter Look-up'!$F$4,$V20-4,0)))</f>
        <v>RMI</v>
      </c>
      <c r="H20" s="183">
        <f ca="1">IF(ISERROR($V20),"",OFFSET('Smelter Look-up'!$G$4,$V20-4,0))</f>
        <v>0</v>
      </c>
      <c r="I20" s="184" t="str">
        <f ca="1">IF(ISERROR($V20),"",OFFSET('Smelter Look-up'!$H$4,$V20-4,0))</f>
        <v>Hanau</v>
      </c>
      <c r="J20" s="184" t="str">
        <f ca="1">IF(ISERROR($V20),"",OFFSET('Smelter Look-up'!$I$4,$V20-4,0))</f>
        <v>Hessen</v>
      </c>
      <c r="K20" s="224"/>
      <c r="L20" s="224"/>
      <c r="M20" s="224"/>
      <c r="N20" s="224"/>
      <c r="O20" s="224"/>
      <c r="P20" s="185"/>
      <c r="Q20" s="225"/>
      <c r="R20" s="182" t="str">
        <f ca="1">IF(ISERROR($V20),"",OFFSET('Smelter Look-up'!$C$4,$V20-4,0)&amp;"")</f>
        <v>Heraeus Germany GmbH Co. KG</v>
      </c>
      <c r="S20" s="181" t="str">
        <f t="shared" ca="1" si="3"/>
        <v>DE</v>
      </c>
      <c r="T20" s="181" t="str">
        <f ca="1">IF(B20="","",IF(ISERROR(MATCH($J20,SorP!$B$1:$B$6279,0)),"",INDIRECT("'SorP'!$A$"&amp;MATCH($S20&amp;$J20,SorP!C:C,0))))</f>
        <v>DE-HE</v>
      </c>
      <c r="U20" s="201"/>
      <c r="V20" s="226">
        <f ca="1">IF(C20="",NA(),IF(OR(C20="Smelter not listed",C20="Smelter not yet identified"),MATCH($B20&amp;$D20,'Smelter Look-up'!$J:$J,0),MATCH($B20&amp;$C20,'Smelter Look-up'!$J:$J,0)))</f>
        <v>105</v>
      </c>
      <c r="X20" s="227">
        <f t="shared" ca="1" si="4"/>
        <v>0</v>
      </c>
      <c r="AB20" s="228" t="str">
        <f t="shared" ca="1" si="5"/>
        <v>GoldHeraeus Germany GmbH Co. KG</v>
      </c>
    </row>
    <row r="21" spans="1:28" s="227" customFormat="1" ht="75.599999999999994">
      <c r="A21" s="181" t="s">
        <v>677</v>
      </c>
      <c r="B21" s="182" t="str">
        <f ca="1">IF(LEN(A21)=0,"",INDEX('Smelter Look-up'!$A:$A,MATCH($A21,'Smelter Look-up'!$E:$E,0)))</f>
        <v>Gold</v>
      </c>
      <c r="C21" s="186" t="str">
        <f ca="1">IF(LEN(A21)=0,"",INDEX('Smelter Look-up'!$C:$C,MATCH($A21,'Smelter Look-up'!$E:$E,0)))</f>
        <v>Heraeus Metals Hong Kong Ltd.</v>
      </c>
      <c r="D21" s="230" t="s">
        <v>2500</v>
      </c>
      <c r="E21" s="182" t="str">
        <f ca="1">IF(ISERROR($V21),"",OFFSET('Smelter Look-up'!$D$4,$V21-4,0)&amp;"")</f>
        <v>CHINA</v>
      </c>
      <c r="F21" s="182" t="str">
        <f ca="1">IF(ISERROR($V21),"",OFFSET('Smelter Look-up'!$E$4,$V21-4,0))</f>
        <v>CID000707</v>
      </c>
      <c r="G21" s="182" t="str">
        <f ca="1">IF(C21=$X$4,IF(ISERROR($V21),"Enter smelter details","RMI"),IF(ISERROR($V21),"",OFFSET('Smelter Look-up'!$F$4,$V21-4,0)))</f>
        <v>RMI</v>
      </c>
      <c r="H21" s="183">
        <f ca="1">IF(ISERROR($V21),"",OFFSET('Smelter Look-up'!$G$4,$V21-4,0))</f>
        <v>0</v>
      </c>
      <c r="I21" s="184" t="str">
        <f ca="1">IF(ISERROR($V21),"",OFFSET('Smelter Look-up'!$H$4,$V21-4,0))</f>
        <v>Fanling</v>
      </c>
      <c r="J21" s="184" t="str">
        <f ca="1">IF(ISERROR($V21),"",OFFSET('Smelter Look-up'!$I$4,$V21-4,0))</f>
        <v>Hong Kong SAR (see also separate country code entry under HK)</v>
      </c>
      <c r="K21" s="224"/>
      <c r="L21" s="224"/>
      <c r="M21" s="224"/>
      <c r="N21" s="224"/>
      <c r="O21" s="224"/>
      <c r="P21" s="185"/>
      <c r="Q21" s="225"/>
      <c r="R21" s="182" t="str">
        <f ca="1">IF(ISERROR($V21),"",OFFSET('Smelter Look-up'!$C$4,$V21-4,0)&amp;"")</f>
        <v>Heraeus Metals Hong Kong Ltd.</v>
      </c>
      <c r="S21" s="181" t="str">
        <f t="shared" ca="1" si="3"/>
        <v>CN</v>
      </c>
      <c r="T21" s="181" t="str">
        <f ca="1">IF(B21="","",IF(ISERROR(MATCH($J21,SorP!$B$1:$B$6279,0)),"",INDIRECT("'SorP'!$A$"&amp;MATCH($S21&amp;$J21,SorP!C:C,0))))</f>
        <v>CN-HK</v>
      </c>
      <c r="U21" s="201"/>
      <c r="V21" s="226">
        <f ca="1">IF(C21="",NA(),IF(OR(C21="Smelter not listed",C21="Smelter not yet identified"),MATCH($B21&amp;$D21,'Smelter Look-up'!$J:$J,0),MATCH($B21&amp;$C21,'Smelter Look-up'!$J:$J,0)))</f>
        <v>107</v>
      </c>
      <c r="X21" s="227">
        <f t="shared" ca="1" si="4"/>
        <v>0</v>
      </c>
      <c r="AB21" s="228" t="str">
        <f t="shared" ca="1" si="5"/>
        <v>GoldHeraeus Metals Hong Kong Ltd.</v>
      </c>
    </row>
    <row r="22" spans="1:28" s="227" customFormat="1" ht="63">
      <c r="A22" s="181" t="s">
        <v>682</v>
      </c>
      <c r="B22" s="182" t="str">
        <f ca="1">IF(LEN(A22)=0,"",INDEX('Smelter Look-up'!$A:$A,MATCH($A22,'Smelter Look-up'!$E:$E,0)))</f>
        <v>Gold</v>
      </c>
      <c r="C22" s="186" t="str">
        <f ca="1">IF(LEN(A22)=0,"",INDEX('Smelter Look-up'!$C:$C,MATCH($A22,'Smelter Look-up'!$E:$E,0)))</f>
        <v>Ishifuku Metal Industry Co., Ltd.</v>
      </c>
      <c r="D22" s="230" t="s">
        <v>1223</v>
      </c>
      <c r="E22" s="182" t="str">
        <f ca="1">IF(ISERROR($V22),"",OFFSET('Smelter Look-up'!$D$4,$V22-4,0)&amp;"")</f>
        <v>JAPAN</v>
      </c>
      <c r="F22" s="182" t="str">
        <f ca="1">IF(ISERROR($V22),"",OFFSET('Smelter Look-up'!$E$4,$V22-4,0))</f>
        <v>CID000807</v>
      </c>
      <c r="G22" s="182" t="str">
        <f ca="1">IF(C22=$X$4,IF(ISERROR($V22),"Enter smelter details","RMI"),IF(ISERROR($V22),"",OFFSET('Smelter Look-up'!$F$4,$V22-4,0)))</f>
        <v>RMI</v>
      </c>
      <c r="H22" s="183">
        <f ca="1">IF(ISERROR($V22),"",OFFSET('Smelter Look-up'!$G$4,$V22-4,0))</f>
        <v>0</v>
      </c>
      <c r="I22" s="184" t="str">
        <f ca="1">IF(ISERROR($V22),"",OFFSET('Smelter Look-up'!$H$4,$V22-4,0))</f>
        <v>Soka</v>
      </c>
      <c r="J22" s="184" t="str">
        <f ca="1">IF(ISERROR($V22),"",OFFSET('Smelter Look-up'!$I$4,$V22-4,0))</f>
        <v>Saitama</v>
      </c>
      <c r="K22" s="224"/>
      <c r="L22" s="224"/>
      <c r="M22" s="224"/>
      <c r="N22" s="224"/>
      <c r="O22" s="224"/>
      <c r="P22" s="185"/>
      <c r="Q22" s="225"/>
      <c r="R22" s="182" t="str">
        <f ca="1">IF(ISERROR($V22),"",OFFSET('Smelter Look-up'!$C$4,$V22-4,0)&amp;"")</f>
        <v>Ishifuku Metal Industry Co., Ltd.</v>
      </c>
      <c r="S22" s="181" t="str">
        <f t="shared" ca="1" si="3"/>
        <v>JP</v>
      </c>
      <c r="T22" s="181" t="str">
        <f ca="1">IF(B22="","",IF(ISERROR(MATCH($J22,SorP!$B$1:$B$6279,0)),"",INDIRECT("'SorP'!$A$"&amp;MATCH($S22&amp;$J22,SorP!C:C,0))))</f>
        <v>JP-11</v>
      </c>
      <c r="U22" s="201"/>
      <c r="V22" s="226">
        <f ca="1">IF(C22="",NA(),IF(OR(C22="Smelter not listed",C22="Smelter not yet identified"),MATCH($B22&amp;$D22,'Smelter Look-up'!$J:$J,0),MATCH($B22&amp;$C22,'Smelter Look-up'!$J:$J,0)))</f>
        <v>118</v>
      </c>
      <c r="X22" s="227">
        <f t="shared" ca="1" si="4"/>
        <v>0</v>
      </c>
      <c r="AB22" s="228" t="str">
        <f t="shared" ca="1" si="5"/>
        <v>GoldIshifuku Metal Industry Co., Ltd.</v>
      </c>
    </row>
    <row r="23" spans="1:28" s="227" customFormat="1" ht="50.4">
      <c r="A23" s="181" t="s">
        <v>683</v>
      </c>
      <c r="B23" s="182" t="str">
        <f ca="1">IF(LEN(A23)=0,"",INDEX('Smelter Look-up'!$A:$A,MATCH($A23,'Smelter Look-up'!$E:$E,0)))</f>
        <v>Gold</v>
      </c>
      <c r="C23" s="186" t="str">
        <f ca="1">IF(LEN(A23)=0,"",INDEX('Smelter Look-up'!$C:$C,MATCH($A23,'Smelter Look-up'!$E:$E,0)))</f>
        <v>Istanbul Gold Refinery</v>
      </c>
      <c r="D23" s="230" t="s">
        <v>1230</v>
      </c>
      <c r="E23" s="182" t="str">
        <f ca="1">IF(ISERROR($V23),"",OFFSET('Smelter Look-up'!$D$4,$V23-4,0)&amp;"")</f>
        <v>TURKEY</v>
      </c>
      <c r="F23" s="182" t="str">
        <f ca="1">IF(ISERROR($V23),"",OFFSET('Smelter Look-up'!$E$4,$V23-4,0))</f>
        <v>CID000814</v>
      </c>
      <c r="G23" s="182" t="str">
        <f ca="1">IF(C23=$X$4,IF(ISERROR($V23),"Enter smelter details","RMI"),IF(ISERROR($V23),"",OFFSET('Smelter Look-up'!$F$4,$V23-4,0)))</f>
        <v>RMI</v>
      </c>
      <c r="H23" s="183">
        <f ca="1">IF(ISERROR($V23),"",OFFSET('Smelter Look-up'!$G$4,$V23-4,0))</f>
        <v>0</v>
      </c>
      <c r="I23" s="184" t="str">
        <f ca="1">IF(ISERROR($V23),"",OFFSET('Smelter Look-up'!$H$4,$V23-4,0))</f>
        <v>Kuyumcukent</v>
      </c>
      <c r="J23" s="184" t="str">
        <f ca="1">IF(ISERROR($V23),"",OFFSET('Smelter Look-up'!$I$4,$V23-4,0))</f>
        <v>İstanbul</v>
      </c>
      <c r="K23" s="224"/>
      <c r="L23" s="224"/>
      <c r="M23" s="224"/>
      <c r="N23" s="224"/>
      <c r="O23" s="224"/>
      <c r="P23" s="185"/>
      <c r="Q23" s="225"/>
      <c r="R23" s="182" t="str">
        <f ca="1">IF(ISERROR($V23),"",OFFSET('Smelter Look-up'!$C$4,$V23-4,0)&amp;"")</f>
        <v>Istanbul Gold Refinery</v>
      </c>
      <c r="S23" s="181" t="str">
        <f t="shared" ca="1" si="3"/>
        <v>TR</v>
      </c>
      <c r="T23" s="181" t="str">
        <f ca="1">IF(B23="","",IF(ISERROR(MATCH($J23,SorP!$B$1:$B$6279,0)),"",INDIRECT("'SorP'!$A$"&amp;MATCH($S23&amp;$J23,SorP!C:C,0))))</f>
        <v>TR-34</v>
      </c>
      <c r="U23" s="201"/>
      <c r="V23" s="226">
        <f ca="1">IF(C23="",NA(),IF(OR(C23="Smelter not listed",C23="Smelter not yet identified"),MATCH($B23&amp;$D23,'Smelter Look-up'!$J:$J,0),MATCH($B23&amp;$C23,'Smelter Look-up'!$J:$J,0)))</f>
        <v>119</v>
      </c>
      <c r="X23" s="227">
        <f t="shared" ca="1" si="4"/>
        <v>0</v>
      </c>
      <c r="AB23" s="228" t="str">
        <f t="shared" ca="1" si="5"/>
        <v>GoldIstanbul Gold Refinery</v>
      </c>
    </row>
    <row r="24" spans="1:28" s="227" customFormat="1" ht="63">
      <c r="A24" s="181" t="s">
        <v>690</v>
      </c>
      <c r="B24" s="182" t="str">
        <f ca="1">IF(LEN(A24)=0,"",INDEX('Smelter Look-up'!$A:$A,MATCH($A24,'Smelter Look-up'!$E:$E,0)))</f>
        <v>Gold</v>
      </c>
      <c r="C24" s="186" t="str">
        <f ca="1">IF(LEN(A24)=0,"",INDEX('Smelter Look-up'!$C:$C,MATCH($A24,'Smelter Look-up'!$E:$E,0)))</f>
        <v>JX Nippon Mining &amp; Metals Co., Ltd.</v>
      </c>
      <c r="D24" s="230" t="s">
        <v>55</v>
      </c>
      <c r="E24" s="182" t="str">
        <f ca="1">IF(ISERROR($V24),"",OFFSET('Smelter Look-up'!$D$4,$V24-4,0)&amp;"")</f>
        <v>JAPAN</v>
      </c>
      <c r="F24" s="182" t="str">
        <f ca="1">IF(ISERROR($V24),"",OFFSET('Smelter Look-up'!$E$4,$V24-4,0))</f>
        <v>CID000937</v>
      </c>
      <c r="G24" s="182" t="str">
        <f ca="1">IF(C24=$X$4,IF(ISERROR($V24),"Enter smelter details","RMI"),IF(ISERROR($V24),"",OFFSET('Smelter Look-up'!$F$4,$V24-4,0)))</f>
        <v>RMI</v>
      </c>
      <c r="H24" s="183">
        <f ca="1">IF(ISERROR($V24),"",OFFSET('Smelter Look-up'!$G$4,$V24-4,0))</f>
        <v>0</v>
      </c>
      <c r="I24" s="184" t="str">
        <f ca="1">IF(ISERROR($V24),"",OFFSET('Smelter Look-up'!$H$4,$V24-4,0))</f>
        <v>Ōita</v>
      </c>
      <c r="J24" s="184" t="str">
        <f ca="1">IF(ISERROR($V24),"",OFFSET('Smelter Look-up'!$I$4,$V24-4,0))</f>
        <v>Ôita</v>
      </c>
      <c r="K24" s="224"/>
      <c r="L24" s="224"/>
      <c r="M24" s="224"/>
      <c r="N24" s="224"/>
      <c r="O24" s="224"/>
      <c r="P24" s="185"/>
      <c r="Q24" s="225"/>
      <c r="R24" s="182" t="str">
        <f ca="1">IF(ISERROR($V24),"",OFFSET('Smelter Look-up'!$C$4,$V24-4,0)&amp;"")</f>
        <v>JX Nippon Mining &amp; Metals Co., Ltd.</v>
      </c>
      <c r="S24" s="181" t="str">
        <f t="shared" ca="1" si="3"/>
        <v>JP</v>
      </c>
      <c r="T24" s="181" t="str">
        <f ca="1">IF(B24="","",IF(ISERROR(MATCH($J24,SorP!$B$1:$B$6279,0)),"",INDIRECT("'SorP'!$A$"&amp;MATCH($S24&amp;$J24,SorP!C:C,0))))</f>
        <v>JP-44</v>
      </c>
      <c r="U24" s="201"/>
      <c r="V24" s="226">
        <f ca="1">IF(C24="",NA(),IF(OR(C24="Smelter not listed",C24="Smelter not yet identified"),MATCH($B24&amp;$D24,'Smelter Look-up'!$J:$J,0),MATCH($B24&amp;$C24,'Smelter Look-up'!$J:$J,0)))</f>
        <v>132</v>
      </c>
      <c r="X24" s="227">
        <f t="shared" ca="1" si="4"/>
        <v>0</v>
      </c>
      <c r="AB24" s="228" t="str">
        <f t="shared" ca="1" si="5"/>
        <v>GoldJX Nippon Mining &amp; Metals Co., Ltd.</v>
      </c>
    </row>
    <row r="25" spans="1:28" s="227" customFormat="1" ht="63">
      <c r="A25" s="181" t="s">
        <v>693</v>
      </c>
      <c r="B25" s="182" t="str">
        <f ca="1">IF(LEN(A25)=0,"",INDEX('Smelter Look-up'!$A:$A,MATCH($A25,'Smelter Look-up'!$E:$E,0)))</f>
        <v>Gold</v>
      </c>
      <c r="C25" s="186" t="str">
        <f ca="1">IF(LEN(A25)=0,"",INDEX('Smelter Look-up'!$C:$C,MATCH($A25,'Smelter Look-up'!$E:$E,0)))</f>
        <v>Kennecott Utah Copper LLC</v>
      </c>
      <c r="D25" s="230" t="s">
        <v>692</v>
      </c>
      <c r="E25" s="182" t="str">
        <f ca="1">IF(ISERROR($V25),"",OFFSET('Smelter Look-up'!$D$4,$V25-4,0)&amp;"")</f>
        <v>UNITED STATES OF AMERICA</v>
      </c>
      <c r="F25" s="182" t="str">
        <f ca="1">IF(ISERROR($V25),"",OFFSET('Smelter Look-up'!$E$4,$V25-4,0))</f>
        <v>CID000969</v>
      </c>
      <c r="G25" s="182" t="str">
        <f ca="1">IF(C25=$X$4,IF(ISERROR($V25),"Enter smelter details","RMI"),IF(ISERROR($V25),"",OFFSET('Smelter Look-up'!$F$4,$V25-4,0)))</f>
        <v>RMI</v>
      </c>
      <c r="H25" s="183">
        <f ca="1">IF(ISERROR($V25),"",OFFSET('Smelter Look-up'!$G$4,$V25-4,0))</f>
        <v>0</v>
      </c>
      <c r="I25" s="184" t="str">
        <f ca="1">IF(ISERROR($V25),"",OFFSET('Smelter Look-up'!$H$4,$V25-4,0))</f>
        <v>Magna</v>
      </c>
      <c r="J25" s="184" t="str">
        <f ca="1">IF(ISERROR($V25),"",OFFSET('Smelter Look-up'!$I$4,$V25-4,0))</f>
        <v>Utah</v>
      </c>
      <c r="K25" s="224"/>
      <c r="L25" s="224"/>
      <c r="M25" s="224"/>
      <c r="N25" s="224"/>
      <c r="O25" s="224"/>
      <c r="P25" s="185"/>
      <c r="Q25" s="225"/>
      <c r="R25" s="182" t="str">
        <f ca="1">IF(ISERROR($V25),"",OFFSET('Smelter Look-up'!$C$4,$V25-4,0)&amp;"")</f>
        <v>Kennecott Utah Copper LLC</v>
      </c>
      <c r="S25" s="181" t="str">
        <f t="shared" ca="1" si="3"/>
        <v>US</v>
      </c>
      <c r="T25" s="181" t="str">
        <f ca="1">IF(B25="","",IF(ISERROR(MATCH($J25,SorP!$B$1:$B$6279,0)),"",INDIRECT("'SorP'!$A$"&amp;MATCH($S25&amp;$J25,SorP!C:C,0))))</f>
        <v>US-UT</v>
      </c>
      <c r="U25" s="201"/>
      <c r="V25" s="226">
        <f ca="1">IF(C25="",NA(),IF(OR(C25="Smelter not listed",C25="Smelter not yet identified"),MATCH($B25&amp;$D25,'Smelter Look-up'!$J:$J,0),MATCH($B25&amp;$C25,'Smelter Look-up'!$J:$J,0)))</f>
        <v>137</v>
      </c>
      <c r="X25" s="227">
        <f t="shared" ca="1" si="4"/>
        <v>0</v>
      </c>
      <c r="AB25" s="228" t="str">
        <f t="shared" ca="1" si="5"/>
        <v>GoldKennecott Utah Copper LLC</v>
      </c>
    </row>
    <row r="26" spans="1:28" s="227" customFormat="1" ht="63">
      <c r="A26" s="181" t="s">
        <v>694</v>
      </c>
      <c r="B26" s="182" t="str">
        <f ca="1">IF(LEN(A26)=0,"",INDEX('Smelter Look-up'!$A:$A,MATCH($A26,'Smelter Look-up'!$E:$E,0)))</f>
        <v>Gold</v>
      </c>
      <c r="C26" s="186" t="str">
        <f ca="1">IF(LEN(A26)=0,"",INDEX('Smelter Look-up'!$C:$C,MATCH($A26,'Smelter Look-up'!$E:$E,0)))</f>
        <v>Kojima Chemicals Co., Ltd.</v>
      </c>
      <c r="D26" s="230" t="s">
        <v>2147</v>
      </c>
      <c r="E26" s="182" t="str">
        <f ca="1">IF(ISERROR($V26),"",OFFSET('Smelter Look-up'!$D$4,$V26-4,0)&amp;"")</f>
        <v>JAPAN</v>
      </c>
      <c r="F26" s="182" t="str">
        <f ca="1">IF(ISERROR($V26),"",OFFSET('Smelter Look-up'!$E$4,$V26-4,0))</f>
        <v>CID000981</v>
      </c>
      <c r="G26" s="182" t="str">
        <f ca="1">IF(C26=$X$4,IF(ISERROR($V26),"Enter smelter details","RMI"),IF(ISERROR($V26),"",OFFSET('Smelter Look-up'!$F$4,$V26-4,0)))</f>
        <v>RMI</v>
      </c>
      <c r="H26" s="183">
        <f ca="1">IF(ISERROR($V26),"",OFFSET('Smelter Look-up'!$G$4,$V26-4,0))</f>
        <v>0</v>
      </c>
      <c r="I26" s="184" t="str">
        <f ca="1">IF(ISERROR($V26),"",OFFSET('Smelter Look-up'!$H$4,$V26-4,0))</f>
        <v>Sayama</v>
      </c>
      <c r="J26" s="184" t="str">
        <f ca="1">IF(ISERROR($V26),"",OFFSET('Smelter Look-up'!$I$4,$V26-4,0))</f>
        <v>Saitama</v>
      </c>
      <c r="K26" s="224"/>
      <c r="L26" s="224"/>
      <c r="M26" s="224"/>
      <c r="N26" s="224"/>
      <c r="O26" s="224"/>
      <c r="P26" s="185"/>
      <c r="Q26" s="225"/>
      <c r="R26" s="182" t="str">
        <f ca="1">IF(ISERROR($V26),"",OFFSET('Smelter Look-up'!$C$4,$V26-4,0)&amp;"")</f>
        <v>Kojima Chemicals Co., Ltd.</v>
      </c>
      <c r="S26" s="181" t="str">
        <f t="shared" ca="1" si="3"/>
        <v>JP</v>
      </c>
      <c r="T26" s="181" t="str">
        <f ca="1">IF(B26="","",IF(ISERROR(MATCH($J26,SorP!$B$1:$B$6279,0)),"",INDIRECT("'SorP'!$A$"&amp;MATCH($S26&amp;$J26,SorP!C:C,0))))</f>
        <v>JP-11</v>
      </c>
      <c r="U26" s="201"/>
      <c r="V26" s="226">
        <f ca="1">IF(C26="",NA(),IF(OR(C26="Smelter not listed",C26="Smelter not yet identified"),MATCH($B26&amp;$D26,'Smelter Look-up'!$J:$J,0),MATCH($B26&amp;$C26,'Smelter Look-up'!$J:$J,0)))</f>
        <v>141</v>
      </c>
      <c r="X26" s="227">
        <f t="shared" ca="1" si="4"/>
        <v>0</v>
      </c>
      <c r="AB26" s="228" t="str">
        <f t="shared" ca="1" si="5"/>
        <v>GoldKojima Chemicals Co., Ltd.</v>
      </c>
    </row>
    <row r="27" spans="1:28" s="227" customFormat="1" ht="50.4">
      <c r="A27" s="181" t="s">
        <v>698</v>
      </c>
      <c r="B27" s="182" t="str">
        <f ca="1">IF(LEN(A27)=0,"",INDEX('Smelter Look-up'!$A:$A,MATCH($A27,'Smelter Look-up'!$E:$E,0)))</f>
        <v>Gold</v>
      </c>
      <c r="C27" s="186" t="str">
        <f ca="1">IF(LEN(A27)=0,"",INDEX('Smelter Look-up'!$C:$C,MATCH($A27,'Smelter Look-up'!$E:$E,0)))</f>
        <v>LS-NIKKO Copper Inc.</v>
      </c>
      <c r="D27" s="230" t="s">
        <v>56</v>
      </c>
      <c r="E27" s="182" t="str">
        <f ca="1">IF(ISERROR($V27),"",OFFSET('Smelter Look-up'!$D$4,$V27-4,0)&amp;"")</f>
        <v>KOREA, REPUBLIC OF</v>
      </c>
      <c r="F27" s="182" t="str">
        <f ca="1">IF(ISERROR($V27),"",OFFSET('Smelter Look-up'!$E$4,$V27-4,0))</f>
        <v>CID001078</v>
      </c>
      <c r="G27" s="182" t="str">
        <f ca="1">IF(C27=$X$4,IF(ISERROR($V27),"Enter smelter details","RMI"),IF(ISERROR($V27),"",OFFSET('Smelter Look-up'!$F$4,$V27-4,0)))</f>
        <v>RMI</v>
      </c>
      <c r="H27" s="183">
        <f ca="1">IF(ISERROR($V27),"",OFFSET('Smelter Look-up'!$G$4,$V27-4,0))</f>
        <v>0</v>
      </c>
      <c r="I27" s="184" t="str">
        <f ca="1">IF(ISERROR($V27),"",OFFSET('Smelter Look-up'!$H$4,$V27-4,0))</f>
        <v>Onsan-eup</v>
      </c>
      <c r="J27" s="184" t="str">
        <f ca="1">IF(ISERROR($V27),"",OFFSET('Smelter Look-up'!$I$4,$V27-4,0))</f>
        <v>Ulsan-gwangyeoksi</v>
      </c>
      <c r="K27" s="224"/>
      <c r="L27" s="224"/>
      <c r="M27" s="224"/>
      <c r="N27" s="224"/>
      <c r="O27" s="224"/>
      <c r="P27" s="185"/>
      <c r="Q27" s="225"/>
      <c r="R27" s="182" t="str">
        <f ca="1">IF(ISERROR($V27),"",OFFSET('Smelter Look-up'!$C$4,$V27-4,0)&amp;"")</f>
        <v>LS-NIKKO Copper Inc.</v>
      </c>
      <c r="S27" s="181" t="str">
        <f t="shared" ca="1" si="3"/>
        <v>KR</v>
      </c>
      <c r="T27" s="181" t="str">
        <f ca="1">IF(B27="","",IF(ISERROR(MATCH($J27,SorP!$B$1:$B$6279,0)),"",INDIRECT("'SorP'!$A$"&amp;MATCH($S27&amp;$J27,SorP!C:C,0))))</f>
        <v>KR-31</v>
      </c>
      <c r="U27" s="201"/>
      <c r="V27" s="226">
        <f ca="1">IF(C27="",NA(),IF(OR(C27="Smelter not listed",C27="Smelter not yet identified"),MATCH($B27&amp;$D27,'Smelter Look-up'!$J:$J,0),MATCH($B27&amp;$C27,'Smelter Look-up'!$J:$J,0)))</f>
        <v>157</v>
      </c>
      <c r="X27" s="227">
        <f t="shared" ca="1" si="4"/>
        <v>0</v>
      </c>
      <c r="AB27" s="228" t="str">
        <f t="shared" ca="1" si="5"/>
        <v>GoldLS-NIKKO Copper Inc.</v>
      </c>
    </row>
    <row r="28" spans="1:28" s="227" customFormat="1" ht="50.4">
      <c r="A28" s="181" t="s">
        <v>702</v>
      </c>
      <c r="B28" s="182" t="str">
        <f ca="1">IF(LEN(A28)=0,"",INDEX('Smelter Look-up'!$A:$A,MATCH($A28,'Smelter Look-up'!$E:$E,0)))</f>
        <v>Gold</v>
      </c>
      <c r="C28" s="186" t="str">
        <f ca="1">IF(LEN(A28)=0,"",INDEX('Smelter Look-up'!$C:$C,MATCH($A28,'Smelter Look-up'!$E:$E,0)))</f>
        <v>Matsuda Sangyo Co., Ltd.</v>
      </c>
      <c r="D28" s="230" t="s">
        <v>57</v>
      </c>
      <c r="E28" s="182" t="str">
        <f ca="1">IF(ISERROR($V28),"",OFFSET('Smelter Look-up'!$D$4,$V28-4,0)&amp;"")</f>
        <v>JAPAN</v>
      </c>
      <c r="F28" s="182" t="str">
        <f ca="1">IF(ISERROR($V28),"",OFFSET('Smelter Look-up'!$E$4,$V28-4,0))</f>
        <v>CID001119</v>
      </c>
      <c r="G28" s="182" t="str">
        <f ca="1">IF(C28=$X$4,IF(ISERROR($V28),"Enter smelter details","RMI"),IF(ISERROR($V28),"",OFFSET('Smelter Look-up'!$F$4,$V28-4,0)))</f>
        <v>RMI</v>
      </c>
      <c r="H28" s="183">
        <f ca="1">IF(ISERROR($V28),"",OFFSET('Smelter Look-up'!$G$4,$V28-4,0))</f>
        <v>0</v>
      </c>
      <c r="I28" s="184" t="str">
        <f ca="1">IF(ISERROR($V28),"",OFFSET('Smelter Look-up'!$H$4,$V28-4,0))</f>
        <v>Iruma</v>
      </c>
      <c r="J28" s="184" t="str">
        <f ca="1">IF(ISERROR($V28),"",OFFSET('Smelter Look-up'!$I$4,$V28-4,0))</f>
        <v>Saitama</v>
      </c>
      <c r="K28" s="224"/>
      <c r="L28" s="224"/>
      <c r="M28" s="224"/>
      <c r="N28" s="224"/>
      <c r="O28" s="224"/>
      <c r="P28" s="185"/>
      <c r="Q28" s="225"/>
      <c r="R28" s="182" t="str">
        <f ca="1">IF(ISERROR($V28),"",OFFSET('Smelter Look-up'!$C$4,$V28-4,0)&amp;"")</f>
        <v>Matsuda Sangyo Co., Ltd.</v>
      </c>
      <c r="S28" s="181" t="str">
        <f t="shared" ca="1" si="3"/>
        <v>JP</v>
      </c>
      <c r="T28" s="181" t="str">
        <f ca="1">IF(B28="","",IF(ISERROR(MATCH($J28,SorP!$B$1:$B$6279,0)),"",INDIRECT("'SorP'!$A$"&amp;MATCH($S28&amp;$J28,SorP!C:C,0))))</f>
        <v>JP-11</v>
      </c>
      <c r="U28" s="201"/>
      <c r="V28" s="226">
        <f ca="1">IF(C28="",NA(),IF(OR(C28="Smelter not listed",C28="Smelter not yet identified"),MATCH($B28&amp;$D28,'Smelter Look-up'!$J:$J,0),MATCH($B28&amp;$C28,'Smelter Look-up'!$J:$J,0)))</f>
        <v>164</v>
      </c>
      <c r="X28" s="227">
        <f t="shared" ca="1" si="4"/>
        <v>0</v>
      </c>
      <c r="AB28" s="228" t="str">
        <f t="shared" ca="1" si="5"/>
        <v>GoldMatsuda Sangyo Co., Ltd.</v>
      </c>
    </row>
    <row r="29" spans="1:28" s="227" customFormat="1" ht="88.2">
      <c r="A29" s="181" t="s">
        <v>703</v>
      </c>
      <c r="B29" s="182" t="str">
        <f ca="1">IF(LEN(A29)=0,"",INDEX('Smelter Look-up'!$A:$A,MATCH($A29,'Smelter Look-up'!$E:$E,0)))</f>
        <v>Gold</v>
      </c>
      <c r="C29" s="186" t="str">
        <f ca="1">IF(LEN(A29)=0,"",INDEX('Smelter Look-up'!$C:$C,MATCH($A29,'Smelter Look-up'!$E:$E,0)))</f>
        <v>Metalor Technologies (Hong Kong) Ltd.</v>
      </c>
      <c r="D29" s="230" t="s">
        <v>2150</v>
      </c>
      <c r="E29" s="182" t="str">
        <f ca="1">IF(ISERROR($V29),"",OFFSET('Smelter Look-up'!$D$4,$V29-4,0)&amp;"")</f>
        <v>CHINA</v>
      </c>
      <c r="F29" s="182" t="str">
        <f ca="1">IF(ISERROR($V29),"",OFFSET('Smelter Look-up'!$E$4,$V29-4,0))</f>
        <v>CID001149</v>
      </c>
      <c r="G29" s="182" t="str">
        <f ca="1">IF(C29=$X$4,IF(ISERROR($V29),"Enter smelter details","RMI"),IF(ISERROR($V29),"",OFFSET('Smelter Look-up'!$F$4,$V29-4,0)))</f>
        <v>RMI</v>
      </c>
      <c r="H29" s="183">
        <f ca="1">IF(ISERROR($V29),"",OFFSET('Smelter Look-up'!$G$4,$V29-4,0))</f>
        <v>0</v>
      </c>
      <c r="I29" s="184" t="str">
        <f ca="1">IF(ISERROR($V29),"",OFFSET('Smelter Look-up'!$H$4,$V29-4,0))</f>
        <v>Kwai Chung</v>
      </c>
      <c r="J29" s="184" t="str">
        <f ca="1">IF(ISERROR($V29),"",OFFSET('Smelter Look-up'!$I$4,$V29-4,0))</f>
        <v>Hong Kong SAR (see also separate country code entry under HK)</v>
      </c>
      <c r="K29" s="224"/>
      <c r="L29" s="224"/>
      <c r="M29" s="224"/>
      <c r="N29" s="224"/>
      <c r="O29" s="224"/>
      <c r="P29" s="185"/>
      <c r="Q29" s="225"/>
      <c r="R29" s="182" t="str">
        <f ca="1">IF(ISERROR($V29),"",OFFSET('Smelter Look-up'!$C$4,$V29-4,0)&amp;"")</f>
        <v>Metalor Technologies (Hong Kong) Ltd.</v>
      </c>
      <c r="S29" s="181" t="str">
        <f t="shared" ca="1" si="3"/>
        <v>CN</v>
      </c>
      <c r="T29" s="181" t="str">
        <f ca="1">IF(B29="","",IF(ISERROR(MATCH($J29,SorP!$B$1:$B$6279,0)),"",INDIRECT("'SorP'!$A$"&amp;MATCH($S29&amp;$J29,SorP!C:C,0))))</f>
        <v>CN-HK</v>
      </c>
      <c r="U29" s="201"/>
      <c r="V29" s="226">
        <f ca="1">IF(C29="",NA(),IF(OR(C29="Smelter not listed",C29="Smelter not yet identified"),MATCH($B29&amp;$D29,'Smelter Look-up'!$J:$J,0),MATCH($B29&amp;$C29,'Smelter Look-up'!$J:$J,0)))</f>
        <v>172</v>
      </c>
      <c r="X29" s="227">
        <f t="shared" ca="1" si="4"/>
        <v>0</v>
      </c>
      <c r="AB29" s="228" t="str">
        <f t="shared" ca="1" si="5"/>
        <v>GoldMetalor Technologies (Hong Kong) Ltd.</v>
      </c>
    </row>
    <row r="30" spans="1:28" s="227" customFormat="1" ht="100.8">
      <c r="A30" s="181" t="s">
        <v>704</v>
      </c>
      <c r="B30" s="182" t="str">
        <f ca="1">IF(LEN(A30)=0,"",INDEX('Smelter Look-up'!$A:$A,MATCH($A30,'Smelter Look-up'!$E:$E,0)))</f>
        <v>Gold</v>
      </c>
      <c r="C30" s="186" t="str">
        <f ca="1">IF(LEN(A30)=0,"",INDEX('Smelter Look-up'!$C:$C,MATCH($A30,'Smelter Look-up'!$E:$E,0)))</f>
        <v>Metalor Technologies (Singapore) Pte., Ltd.</v>
      </c>
      <c r="D30" s="230" t="s">
        <v>2151</v>
      </c>
      <c r="E30" s="182" t="str">
        <f ca="1">IF(ISERROR($V30),"",OFFSET('Smelter Look-up'!$D$4,$V30-4,0)&amp;"")</f>
        <v>SINGAPORE</v>
      </c>
      <c r="F30" s="182" t="str">
        <f ca="1">IF(ISERROR($V30),"",OFFSET('Smelter Look-up'!$E$4,$V30-4,0))</f>
        <v>CID001152</v>
      </c>
      <c r="G30" s="182" t="str">
        <f ca="1">IF(C30=$X$4,IF(ISERROR($V30),"Enter smelter details","RMI"),IF(ISERROR($V30),"",OFFSET('Smelter Look-up'!$F$4,$V30-4,0)))</f>
        <v>RMI</v>
      </c>
      <c r="H30" s="183">
        <f ca="1">IF(ISERROR($V30),"",OFFSET('Smelter Look-up'!$G$4,$V30-4,0))</f>
        <v>0</v>
      </c>
      <c r="I30" s="184" t="str">
        <f ca="1">IF(ISERROR($V30),"",OFFSET('Smelter Look-up'!$H$4,$V30-4,0))</f>
        <v>Singapore</v>
      </c>
      <c r="J30" s="184" t="str">
        <f ca="1">IF(ISERROR($V30),"",OFFSET('Smelter Look-up'!$I$4,$V30-4,0))</f>
        <v>South West</v>
      </c>
      <c r="K30" s="224"/>
      <c r="L30" s="224"/>
      <c r="M30" s="224"/>
      <c r="N30" s="224"/>
      <c r="O30" s="224"/>
      <c r="P30" s="185"/>
      <c r="Q30" s="225"/>
      <c r="R30" s="182" t="str">
        <f ca="1">IF(ISERROR($V30),"",OFFSET('Smelter Look-up'!$C$4,$V30-4,0)&amp;"")</f>
        <v>Metalor Technologies (Singapore) Pte., Ltd.</v>
      </c>
      <c r="S30" s="181" t="str">
        <f t="shared" ca="1" si="3"/>
        <v>SG</v>
      </c>
      <c r="T30" s="181" t="str">
        <f ca="1">IF(B30="","",IF(ISERROR(MATCH($J30,SorP!$B$1:$B$6279,0)),"",INDIRECT("'SorP'!$A$"&amp;MATCH($S30&amp;$J30,SorP!C:C,0))))</f>
        <v>SG-05</v>
      </c>
      <c r="U30" s="201"/>
      <c r="V30" s="226">
        <f ca="1">IF(C30="",NA(),IF(OR(C30="Smelter not listed",C30="Smelter not yet identified"),MATCH($B30&amp;$D30,'Smelter Look-up'!$J:$J,0),MATCH($B30&amp;$C30,'Smelter Look-up'!$J:$J,0)))</f>
        <v>173</v>
      </c>
      <c r="X30" s="227">
        <f t="shared" ca="1" si="4"/>
        <v>0</v>
      </c>
      <c r="AB30" s="228" t="str">
        <f t="shared" ca="1" si="5"/>
        <v>GoldMetalor Technologies (Singapore) Pte., Ltd.</v>
      </c>
    </row>
    <row r="31" spans="1:28" s="227" customFormat="1" ht="75.599999999999994">
      <c r="A31" s="181" t="s">
        <v>1620</v>
      </c>
      <c r="B31" s="182" t="str">
        <f ca="1">IF(LEN(A31)=0,"",INDEX('Smelter Look-up'!$A:$A,MATCH($A31,'Smelter Look-up'!$E:$E,0)))</f>
        <v>Gold</v>
      </c>
      <c r="C31" s="186" t="str">
        <f ca="1">IF(LEN(A31)=0,"",INDEX('Smelter Look-up'!$C:$C,MATCH($A31,'Smelter Look-up'!$E:$E,0)))</f>
        <v>Metalor Technologies (Suzhou) Ltd.</v>
      </c>
      <c r="D31" s="230" t="s">
        <v>1619</v>
      </c>
      <c r="E31" s="182" t="str">
        <f ca="1">IF(ISERROR($V31),"",OFFSET('Smelter Look-up'!$D$4,$V31-4,0)&amp;"")</f>
        <v>CHINA</v>
      </c>
      <c r="F31" s="182" t="str">
        <f ca="1">IF(ISERROR($V31),"",OFFSET('Smelter Look-up'!$E$4,$V31-4,0))</f>
        <v>CID001147</v>
      </c>
      <c r="G31" s="182" t="str">
        <f ca="1">IF(C31=$X$4,IF(ISERROR($V31),"Enter smelter details","RMI"),IF(ISERROR($V31),"",OFFSET('Smelter Look-up'!$F$4,$V31-4,0)))</f>
        <v>RMI</v>
      </c>
      <c r="H31" s="183">
        <f ca="1">IF(ISERROR($V31),"",OFFSET('Smelter Look-up'!$G$4,$V31-4,0))</f>
        <v>0</v>
      </c>
      <c r="I31" s="184" t="str">
        <f ca="1">IF(ISERROR($V31),"",OFFSET('Smelter Look-up'!$H$4,$V31-4,0))</f>
        <v>Suzhou</v>
      </c>
      <c r="J31" s="184" t="str">
        <f ca="1">IF(ISERROR($V31),"",OFFSET('Smelter Look-up'!$I$4,$V31-4,0))</f>
        <v>Jiangsu Sheng</v>
      </c>
      <c r="K31" s="224"/>
      <c r="L31" s="224"/>
      <c r="M31" s="224"/>
      <c r="N31" s="224"/>
      <c r="O31" s="224"/>
      <c r="P31" s="185"/>
      <c r="Q31" s="225"/>
      <c r="R31" s="182" t="str">
        <f ca="1">IF(ISERROR($V31),"",OFFSET('Smelter Look-up'!$C$4,$V31-4,0)&amp;"")</f>
        <v>Metalor Technologies (Suzhou) Ltd.</v>
      </c>
      <c r="S31" s="181" t="str">
        <f t="shared" ca="1" si="3"/>
        <v>CN</v>
      </c>
      <c r="T31" s="181" t="str">
        <f ca="1">IF(B31="","",IF(ISERROR(MATCH($J31,SorP!$B$1:$B$6279,0)),"",INDIRECT("'SorP'!$A$"&amp;MATCH($S31&amp;$J31,SorP!C:C,0))))</f>
        <v>CN-JS</v>
      </c>
      <c r="U31" s="201"/>
      <c r="V31" s="226">
        <f ca="1">IF(C31="",NA(),IF(OR(C31="Smelter not listed",C31="Smelter not yet identified"),MATCH($B31&amp;$D31,'Smelter Look-up'!$J:$J,0),MATCH($B31&amp;$C31,'Smelter Look-up'!$J:$J,0)))</f>
        <v>174</v>
      </c>
      <c r="X31" s="227">
        <f t="shared" ca="1" si="4"/>
        <v>0</v>
      </c>
      <c r="AB31" s="228" t="str">
        <f t="shared" ca="1" si="5"/>
        <v>GoldMetalor Technologies (Suzhou) Ltd.</v>
      </c>
    </row>
    <row r="32" spans="1:28" s="227" customFormat="1" ht="50.4">
      <c r="A32" s="181" t="s">
        <v>705</v>
      </c>
      <c r="B32" s="182" t="str">
        <f ca="1">IF(LEN(A32)=0,"",INDEX('Smelter Look-up'!$A:$A,MATCH($A32,'Smelter Look-up'!$E:$E,0)))</f>
        <v>Gold</v>
      </c>
      <c r="C32" s="186" t="str">
        <f ca="1">IF(LEN(A32)=0,"",INDEX('Smelter Look-up'!$C:$C,MATCH($A32,'Smelter Look-up'!$E:$E,0)))</f>
        <v>Metalor Technologies S.A.</v>
      </c>
      <c r="D32" s="230" t="s">
        <v>2305</v>
      </c>
      <c r="E32" s="182" t="str">
        <f ca="1">IF(ISERROR($V32),"",OFFSET('Smelter Look-up'!$D$4,$V32-4,0)&amp;"")</f>
        <v>SWITZERLAND</v>
      </c>
      <c r="F32" s="182" t="str">
        <f ca="1">IF(ISERROR($V32),"",OFFSET('Smelter Look-up'!$E$4,$V32-4,0))</f>
        <v>CID001153</v>
      </c>
      <c r="G32" s="182" t="str">
        <f ca="1">IF(C32=$X$4,IF(ISERROR($V32),"Enter smelter details","RMI"),IF(ISERROR($V32),"",OFFSET('Smelter Look-up'!$F$4,$V32-4,0)))</f>
        <v>RMI</v>
      </c>
      <c r="H32" s="183">
        <f ca="1">IF(ISERROR($V32),"",OFFSET('Smelter Look-up'!$G$4,$V32-4,0))</f>
        <v>0</v>
      </c>
      <c r="I32" s="184" t="str">
        <f ca="1">IF(ISERROR($V32),"",OFFSET('Smelter Look-up'!$H$4,$V32-4,0))</f>
        <v>Marin</v>
      </c>
      <c r="J32" s="184" t="str">
        <f ca="1">IF(ISERROR($V32),"",OFFSET('Smelter Look-up'!$I$4,$V32-4,0))</f>
        <v>Neuchâtel</v>
      </c>
      <c r="K32" s="224"/>
      <c r="L32" s="224"/>
      <c r="M32" s="224"/>
      <c r="N32" s="224"/>
      <c r="O32" s="224"/>
      <c r="P32" s="185"/>
      <c r="Q32" s="225"/>
      <c r="R32" s="182" t="str">
        <f ca="1">IF(ISERROR($V32),"",OFFSET('Smelter Look-up'!$C$4,$V32-4,0)&amp;"")</f>
        <v>Metalor Technologies S.A.</v>
      </c>
      <c r="S32" s="181" t="str">
        <f t="shared" ca="1" si="3"/>
        <v>CH</v>
      </c>
      <c r="T32" s="181" t="str">
        <f ca="1">IF(B32="","",IF(ISERROR(MATCH($J32,SorP!$B$1:$B$6279,0)),"",INDIRECT("'SorP'!$A$"&amp;MATCH($S32&amp;$J32,SorP!C:C,0))))</f>
        <v>CH-NE</v>
      </c>
      <c r="U32" s="201"/>
      <c r="V32" s="226">
        <f ca="1">IF(C32="",NA(),IF(OR(C32="Smelter not listed",C32="Smelter not yet identified"),MATCH($B32&amp;$D32,'Smelter Look-up'!$J:$J,0),MATCH($B32&amp;$C32,'Smelter Look-up'!$J:$J,0)))</f>
        <v>175</v>
      </c>
      <c r="X32" s="227">
        <f t="shared" ca="1" si="4"/>
        <v>0</v>
      </c>
      <c r="AB32" s="228" t="str">
        <f t="shared" ca="1" si="5"/>
        <v>GoldMetalor Technologies S.A.</v>
      </c>
    </row>
    <row r="33" spans="1:28" s="227" customFormat="1" ht="63">
      <c r="A33" s="181" t="s">
        <v>706</v>
      </c>
      <c r="B33" s="182" t="str">
        <f ca="1">IF(LEN(A33)=0,"",INDEX('Smelter Look-up'!$A:$A,MATCH($A33,'Smelter Look-up'!$E:$E,0)))</f>
        <v>Gold</v>
      </c>
      <c r="C33" s="186" t="str">
        <f ca="1">IF(LEN(A33)=0,"",INDEX('Smelter Look-up'!$C:$C,MATCH($A33,'Smelter Look-up'!$E:$E,0)))</f>
        <v>Metalor USA Refining Corporation</v>
      </c>
      <c r="D33" s="230" t="s">
        <v>1224</v>
      </c>
      <c r="E33" s="182" t="str">
        <f ca="1">IF(ISERROR($V33),"",OFFSET('Smelter Look-up'!$D$4,$V33-4,0)&amp;"")</f>
        <v>UNITED STATES OF AMERICA</v>
      </c>
      <c r="F33" s="182" t="str">
        <f ca="1">IF(ISERROR($V33),"",OFFSET('Smelter Look-up'!$E$4,$V33-4,0))</f>
        <v>CID001157</v>
      </c>
      <c r="G33" s="182" t="str">
        <f ca="1">IF(C33=$X$4,IF(ISERROR($V33),"Enter smelter details","RMI"),IF(ISERROR($V33),"",OFFSET('Smelter Look-up'!$F$4,$V33-4,0)))</f>
        <v>RMI</v>
      </c>
      <c r="H33" s="183">
        <f ca="1">IF(ISERROR($V33),"",OFFSET('Smelter Look-up'!$G$4,$V33-4,0))</f>
        <v>0</v>
      </c>
      <c r="I33" s="184" t="str">
        <f ca="1">IF(ISERROR($V33),"",OFFSET('Smelter Look-up'!$H$4,$V33-4,0))</f>
        <v>North Attleboro</v>
      </c>
      <c r="J33" s="184" t="str">
        <f ca="1">IF(ISERROR($V33),"",OFFSET('Smelter Look-up'!$I$4,$V33-4,0))</f>
        <v>Massachusetts</v>
      </c>
      <c r="K33" s="224"/>
      <c r="L33" s="224"/>
      <c r="M33" s="224"/>
      <c r="N33" s="224"/>
      <c r="O33" s="224"/>
      <c r="P33" s="185"/>
      <c r="Q33" s="225"/>
      <c r="R33" s="182" t="str">
        <f ca="1">IF(ISERROR($V33),"",OFFSET('Smelter Look-up'!$C$4,$V33-4,0)&amp;"")</f>
        <v>Metalor USA Refining Corporation</v>
      </c>
      <c r="S33" s="181" t="str">
        <f t="shared" ca="1" si="3"/>
        <v>US</v>
      </c>
      <c r="T33" s="181" t="str">
        <f ca="1">IF(B33="","",IF(ISERROR(MATCH($J33,SorP!$B$1:$B$6279,0)),"",INDIRECT("'SorP'!$A$"&amp;MATCH($S33&amp;$J33,SorP!C:C,0))))</f>
        <v>US-MA</v>
      </c>
      <c r="U33" s="201"/>
      <c r="V33" s="226">
        <f ca="1">IF(C33="",NA(),IF(OR(C33="Smelter not listed",C33="Smelter not yet identified"),MATCH($B33&amp;$D33,'Smelter Look-up'!$J:$J,0),MATCH($B33&amp;$C33,'Smelter Look-up'!$J:$J,0)))</f>
        <v>176</v>
      </c>
      <c r="X33" s="227">
        <f t="shared" ca="1" si="4"/>
        <v>0</v>
      </c>
      <c r="AB33" s="228" t="str">
        <f t="shared" ca="1" si="5"/>
        <v>GoldMetalor USA Refining Corporation</v>
      </c>
    </row>
    <row r="34" spans="1:28" s="227" customFormat="1" ht="75.599999999999994">
      <c r="A34" s="181" t="s">
        <v>707</v>
      </c>
      <c r="B34" s="182" t="str">
        <f ca="1">IF(LEN(A34)=0,"",INDEX('Smelter Look-up'!$A:$A,MATCH($A34,'Smelter Look-up'!$E:$E,0)))</f>
        <v>Gold</v>
      </c>
      <c r="C34" s="186" t="str">
        <f ca="1">IF(LEN(A34)=0,"",INDEX('Smelter Look-up'!$C:$C,MATCH($A34,'Smelter Look-up'!$E:$E,0)))</f>
        <v>Metalurgica Met-Mex Penoles S.A. De C.V.</v>
      </c>
      <c r="D34" s="230" t="s">
        <v>12429</v>
      </c>
      <c r="E34" s="182" t="str">
        <f ca="1">IF(ISERROR($V34),"",OFFSET('Smelter Look-up'!$D$4,$V34-4,0)&amp;"")</f>
        <v>MEXICO</v>
      </c>
      <c r="F34" s="182" t="str">
        <f ca="1">IF(ISERROR($V34),"",OFFSET('Smelter Look-up'!$E$4,$V34-4,0))</f>
        <v>CID001161</v>
      </c>
      <c r="G34" s="182" t="str">
        <f ca="1">IF(C34=$X$4,IF(ISERROR($V34),"Enter smelter details","RMI"),IF(ISERROR($V34),"",OFFSET('Smelter Look-up'!$F$4,$V34-4,0)))</f>
        <v>RMI</v>
      </c>
      <c r="H34" s="183">
        <f ca="1">IF(ISERROR($V34),"",OFFSET('Smelter Look-up'!$G$4,$V34-4,0))</f>
        <v>0</v>
      </c>
      <c r="I34" s="184" t="str">
        <f ca="1">IF(ISERROR($V34),"",OFFSET('Smelter Look-up'!$H$4,$V34-4,0))</f>
        <v>Torreon</v>
      </c>
      <c r="J34" s="184" t="str">
        <f ca="1">IF(ISERROR($V34),"",OFFSET('Smelter Look-up'!$I$4,$V34-4,0))</f>
        <v>Coahuila de Zaragoza</v>
      </c>
      <c r="K34" s="224"/>
      <c r="L34" s="224"/>
      <c r="M34" s="224"/>
      <c r="N34" s="224"/>
      <c r="O34" s="224"/>
      <c r="P34" s="185"/>
      <c r="Q34" s="225"/>
      <c r="R34" s="182" t="str">
        <f ca="1">IF(ISERROR($V34),"",OFFSET('Smelter Look-up'!$C$4,$V34-4,0)&amp;"")</f>
        <v>Metalurgica Met-Mex Penoles S.A. De C.V.</v>
      </c>
      <c r="S34" s="181" t="str">
        <f t="shared" ca="1" si="3"/>
        <v>MX</v>
      </c>
      <c r="T34" s="181" t="str">
        <f ca="1">IF(B34="","",IF(ISERROR(MATCH($J34,SorP!$B$1:$B$6279,0)),"",INDIRECT("'SorP'!$A$"&amp;MATCH($S34&amp;$J34,SorP!C:C,0))))</f>
        <v>MX-COA</v>
      </c>
      <c r="U34" s="201"/>
      <c r="V34" s="226">
        <f ca="1">IF(C34="",NA(),IF(OR(C34="Smelter not listed",C34="Smelter not yet identified"),MATCH($B34&amp;$D34,'Smelter Look-up'!$J:$J,0),MATCH($B34&amp;$C34,'Smelter Look-up'!$J:$J,0)))</f>
        <v>177</v>
      </c>
      <c r="X34" s="227">
        <f t="shared" ca="1" si="4"/>
        <v>0</v>
      </c>
      <c r="AB34" s="228" t="str">
        <f t="shared" ca="1" si="5"/>
        <v>GoldMetalurgica Met-Mex Penoles S.A. De C.V.</v>
      </c>
    </row>
    <row r="35" spans="1:28" s="227" customFormat="1" ht="63">
      <c r="A35" s="181" t="s">
        <v>708</v>
      </c>
      <c r="B35" s="182" t="str">
        <f ca="1">IF(LEN(A35)=0,"",INDEX('Smelter Look-up'!$A:$A,MATCH($A35,'Smelter Look-up'!$E:$E,0)))</f>
        <v>Gold</v>
      </c>
      <c r="C35" s="186" t="str">
        <f ca="1">IF(LEN(A35)=0,"",INDEX('Smelter Look-up'!$C:$C,MATCH($A35,'Smelter Look-up'!$E:$E,0)))</f>
        <v>Mitsubishi Materials Corporation</v>
      </c>
      <c r="D35" s="230" t="s">
        <v>1159</v>
      </c>
      <c r="E35" s="182" t="str">
        <f ca="1">IF(ISERROR($V35),"",OFFSET('Smelter Look-up'!$D$4,$V35-4,0)&amp;"")</f>
        <v>JAPAN</v>
      </c>
      <c r="F35" s="182" t="str">
        <f ca="1">IF(ISERROR($V35),"",OFFSET('Smelter Look-up'!$E$4,$V35-4,0))</f>
        <v>CID001188</v>
      </c>
      <c r="G35" s="182" t="str">
        <f ca="1">IF(C35=$X$4,IF(ISERROR($V35),"Enter smelter details","RMI"),IF(ISERROR($V35),"",OFFSET('Smelter Look-up'!$F$4,$V35-4,0)))</f>
        <v>RMI</v>
      </c>
      <c r="H35" s="183">
        <f ca="1">IF(ISERROR($V35),"",OFFSET('Smelter Look-up'!$G$4,$V35-4,0))</f>
        <v>0</v>
      </c>
      <c r="I35" s="184" t="str">
        <f ca="1">IF(ISERROR($V35),"",OFFSET('Smelter Look-up'!$H$4,$V35-4,0))</f>
        <v>Tokyo</v>
      </c>
      <c r="J35" s="184" t="str">
        <f ca="1">IF(ISERROR($V35),"",OFFSET('Smelter Look-up'!$I$4,$V35-4,0))</f>
        <v>Tokyo</v>
      </c>
      <c r="K35" s="224"/>
      <c r="L35" s="224"/>
      <c r="M35" s="224"/>
      <c r="N35" s="224"/>
      <c r="O35" s="224"/>
      <c r="P35" s="185"/>
      <c r="Q35" s="225"/>
      <c r="R35" s="182" t="str">
        <f ca="1">IF(ISERROR($V35),"",OFFSET('Smelter Look-up'!$C$4,$V35-4,0)&amp;"")</f>
        <v>Mitsubishi Materials Corporation</v>
      </c>
      <c r="S35" s="181" t="str">
        <f t="shared" ca="1" si="3"/>
        <v>JP</v>
      </c>
      <c r="T35" s="181" t="str">
        <f ca="1">IF(B35="","",IF(ISERROR(MATCH($J35,SorP!$B$1:$B$6279,0)),"",INDIRECT("'SorP'!$A$"&amp;MATCH($S35&amp;$J35,SorP!C:C,0))))</f>
        <v>JP-13</v>
      </c>
      <c r="U35" s="201"/>
      <c r="V35" s="226">
        <f ca="1">IF(C35="",NA(),IF(OR(C35="Smelter not listed",C35="Smelter not yet identified"),MATCH($B35&amp;$D35,'Smelter Look-up'!$J:$J,0),MATCH($B35&amp;$C35,'Smelter Look-up'!$J:$J,0)))</f>
        <v>181</v>
      </c>
      <c r="X35" s="227">
        <f t="shared" ca="1" si="4"/>
        <v>0</v>
      </c>
      <c r="AB35" s="228" t="str">
        <f t="shared" ca="1" si="5"/>
        <v>GoldMitsubishi Materials Corporation</v>
      </c>
    </row>
    <row r="36" spans="1:28" s="227" customFormat="1" ht="88.2">
      <c r="A36" s="181" t="s">
        <v>709</v>
      </c>
      <c r="B36" s="182" t="str">
        <f ca="1">IF(LEN(A36)=0,"",INDEX('Smelter Look-up'!$A:$A,MATCH($A36,'Smelter Look-up'!$E:$E,0)))</f>
        <v>Gold</v>
      </c>
      <c r="C36" s="186" t="str">
        <f ca="1">IF(LEN(A36)=0,"",INDEX('Smelter Look-up'!$C:$C,MATCH($A36,'Smelter Look-up'!$E:$E,0)))</f>
        <v>Mitsui Mining and Smelting Co., Ltd.</v>
      </c>
      <c r="D36" s="230" t="s">
        <v>1225</v>
      </c>
      <c r="E36" s="182" t="str">
        <f ca="1">IF(ISERROR($V36),"",OFFSET('Smelter Look-up'!$D$4,$V36-4,0)&amp;"")</f>
        <v>JAPAN</v>
      </c>
      <c r="F36" s="182" t="str">
        <f ca="1">IF(ISERROR($V36),"",OFFSET('Smelter Look-up'!$E$4,$V36-4,0))</f>
        <v>CID001193</v>
      </c>
      <c r="G36" s="182" t="str">
        <f ca="1">IF(C36=$X$4,IF(ISERROR($V36),"Enter smelter details","RMI"),IF(ISERROR($V36),"",OFFSET('Smelter Look-up'!$F$4,$V36-4,0)))</f>
        <v>RMI</v>
      </c>
      <c r="H36" s="183">
        <f ca="1">IF(ISERROR($V36),"",OFFSET('Smelter Look-up'!$G$4,$V36-4,0))</f>
        <v>0</v>
      </c>
      <c r="I36" s="184" t="str">
        <f ca="1">IF(ISERROR($V36),"",OFFSET('Smelter Look-up'!$H$4,$V36-4,0))</f>
        <v>Takehara</v>
      </c>
      <c r="J36" s="184" t="str">
        <f ca="1">IF(ISERROR($V36),"",OFFSET('Smelter Look-up'!$I$4,$V36-4,0))</f>
        <v>Hiroshima</v>
      </c>
      <c r="K36" s="224"/>
      <c r="L36" s="224"/>
      <c r="M36" s="224"/>
      <c r="N36" s="224"/>
      <c r="O36" s="224"/>
      <c r="P36" s="185"/>
      <c r="Q36" s="225"/>
      <c r="R36" s="182" t="str">
        <f ca="1">IF(ISERROR($V36),"",OFFSET('Smelter Look-up'!$C$4,$V36-4,0)&amp;"")</f>
        <v>Mitsui Mining and Smelting Co., Ltd.</v>
      </c>
      <c r="S36" s="181" t="str">
        <f t="shared" ca="1" si="3"/>
        <v>JP</v>
      </c>
      <c r="T36" s="181" t="str">
        <f ca="1">IF(B36="","",IF(ISERROR(MATCH($J36,SorP!$B$1:$B$6279,0)),"",INDIRECT("'SorP'!$A$"&amp;MATCH($S36&amp;$J36,SorP!C:C,0))))</f>
        <v>JP-34</v>
      </c>
      <c r="U36" s="201"/>
      <c r="V36" s="226">
        <f ca="1">IF(C36="",NA(),IF(OR(C36="Smelter not listed",C36="Smelter not yet identified"),MATCH($B36&amp;$D36,'Smelter Look-up'!$J:$J,0),MATCH($B36&amp;$C36,'Smelter Look-up'!$J:$J,0)))</f>
        <v>183</v>
      </c>
      <c r="X36" s="227">
        <f t="shared" ca="1" si="4"/>
        <v>0</v>
      </c>
      <c r="AB36" s="228" t="str">
        <f t="shared" ca="1" si="5"/>
        <v>GoldMitsui Mining and Smelting Co., Ltd.</v>
      </c>
    </row>
    <row r="37" spans="1:28" s="227" customFormat="1" ht="50.4">
      <c r="A37" s="181" t="s">
        <v>713</v>
      </c>
      <c r="B37" s="182" t="str">
        <f ca="1">IF(LEN(A37)=0,"",INDEX('Smelter Look-up'!$A:$A,MATCH($A37,'Smelter Look-up'!$E:$E,0)))</f>
        <v>Gold</v>
      </c>
      <c r="C37" s="186" t="str">
        <f ca="1">IF(LEN(A37)=0,"",INDEX('Smelter Look-up'!$C:$C,MATCH($A37,'Smelter Look-up'!$E:$E,0)))</f>
        <v>Nihon Material Co., Ltd.</v>
      </c>
      <c r="D37" s="230" t="s">
        <v>2154</v>
      </c>
      <c r="E37" s="182" t="str">
        <f ca="1">IF(ISERROR($V37),"",OFFSET('Smelter Look-up'!$D$4,$V37-4,0)&amp;"")</f>
        <v>JAPAN</v>
      </c>
      <c r="F37" s="182" t="str">
        <f ca="1">IF(ISERROR($V37),"",OFFSET('Smelter Look-up'!$E$4,$V37-4,0))</f>
        <v>CID001259</v>
      </c>
      <c r="G37" s="182" t="str">
        <f ca="1">IF(C37=$X$4,IF(ISERROR($V37),"Enter smelter details","RMI"),IF(ISERROR($V37),"",OFFSET('Smelter Look-up'!$F$4,$V37-4,0)))</f>
        <v>RMI</v>
      </c>
      <c r="H37" s="183">
        <f ca="1">IF(ISERROR($V37),"",OFFSET('Smelter Look-up'!$G$4,$V37-4,0))</f>
        <v>0</v>
      </c>
      <c r="I37" s="184" t="str">
        <f ca="1">IF(ISERROR($V37),"",OFFSET('Smelter Look-up'!$H$4,$V37-4,0))</f>
        <v>Noda</v>
      </c>
      <c r="J37" s="184" t="str">
        <f ca="1">IF(ISERROR($V37),"",OFFSET('Smelter Look-up'!$I$4,$V37-4,0))</f>
        <v>Chiba</v>
      </c>
      <c r="K37" s="224"/>
      <c r="L37" s="224"/>
      <c r="M37" s="224"/>
      <c r="N37" s="224"/>
      <c r="O37" s="224"/>
      <c r="P37" s="185"/>
      <c r="Q37" s="225"/>
      <c r="R37" s="182" t="str">
        <f ca="1">IF(ISERROR($V37),"",OFFSET('Smelter Look-up'!$C$4,$V37-4,0)&amp;"")</f>
        <v>Nihon Material Co., Ltd.</v>
      </c>
      <c r="S37" s="181" t="str">
        <f t="shared" ca="1" si="3"/>
        <v>JP</v>
      </c>
      <c r="T37" s="181" t="str">
        <f ca="1">IF(B37="","",IF(ISERROR(MATCH($J37,SorP!$B$1:$B$6279,0)),"",INDIRECT("'SorP'!$A$"&amp;MATCH($S37&amp;$J37,SorP!C:C,0))))</f>
        <v>JP-12</v>
      </c>
      <c r="U37" s="201"/>
      <c r="V37" s="226">
        <f ca="1">IF(C37="",NA(),IF(OR(C37="Smelter not listed",C37="Smelter not yet identified"),MATCH($B37&amp;$D37,'Smelter Look-up'!$J:$J,0),MATCH($B37&amp;$C37,'Smelter Look-up'!$J:$J,0)))</f>
        <v>193</v>
      </c>
      <c r="X37" s="227">
        <f t="shared" ca="1" si="4"/>
        <v>0</v>
      </c>
      <c r="AB37" s="228" t="str">
        <f t="shared" ca="1" si="5"/>
        <v>GoldNihon Material Co., Ltd.</v>
      </c>
    </row>
    <row r="38" spans="1:28" s="227" customFormat="1" ht="126">
      <c r="A38" s="181" t="s">
        <v>2205</v>
      </c>
      <c r="B38" s="182" t="str">
        <f ca="1">IF(LEN(A38)=0,"",INDEX('Smelter Look-up'!$A:$A,MATCH($A38,'Smelter Look-up'!$E:$E,0)))</f>
        <v>Gold</v>
      </c>
      <c r="C38" s="186" t="str">
        <f ca="1">IF(LEN(A38)=0,"",INDEX('Smelter Look-up'!$C:$C,MATCH($A38,'Smelter Look-up'!$E:$E,0)))</f>
        <v>Ogussa Osterreichische Gold- und Silber-Scheideanstalt GmbH</v>
      </c>
      <c r="D38" s="230" t="s">
        <v>12435</v>
      </c>
      <c r="E38" s="182" t="str">
        <f ca="1">IF(ISERROR($V38),"",OFFSET('Smelter Look-up'!$D$4,$V38-4,0)&amp;"")</f>
        <v>AUSTRIA</v>
      </c>
      <c r="F38" s="182" t="str">
        <f ca="1">IF(ISERROR($V38),"",OFFSET('Smelter Look-up'!$E$4,$V38-4,0))</f>
        <v>CID002779</v>
      </c>
      <c r="G38" s="182" t="str">
        <f ca="1">IF(C38=$X$4,IF(ISERROR($V38),"Enter smelter details","RMI"),IF(ISERROR($V38),"",OFFSET('Smelter Look-up'!$F$4,$V38-4,0)))</f>
        <v>RMI</v>
      </c>
      <c r="H38" s="183">
        <f ca="1">IF(ISERROR($V38),"",OFFSET('Smelter Look-up'!$G$4,$V38-4,0))</f>
        <v>0</v>
      </c>
      <c r="I38" s="184" t="str">
        <f ca="1">IF(ISERROR($V38),"",OFFSET('Smelter Look-up'!$H$4,$V38-4,0))</f>
        <v>Vienna</v>
      </c>
      <c r="J38" s="184" t="str">
        <f ca="1">IF(ISERROR($V38),"",OFFSET('Smelter Look-up'!$I$4,$V38-4,0))</f>
        <v>Wien</v>
      </c>
      <c r="K38" s="224"/>
      <c r="L38" s="224"/>
      <c r="M38" s="224"/>
      <c r="N38" s="224"/>
      <c r="O38" s="224"/>
      <c r="P38" s="185"/>
      <c r="Q38" s="225"/>
      <c r="R38" s="182" t="str">
        <f ca="1">IF(ISERROR($V38),"",OFFSET('Smelter Look-up'!$C$4,$V38-4,0)&amp;"")</f>
        <v>Ogussa Osterreichische Gold- und Silber-Scheideanstalt GmbH</v>
      </c>
      <c r="S38" s="181" t="str">
        <f t="shared" ref="S38:S68" ca="1" si="6">IF(B38="","",IF(ISERROR(MATCH($E38,CL,0)),"Unknown",INDIRECT("'C'!$A$"&amp;MATCH($E38,CL,0)+1)))</f>
        <v>AT</v>
      </c>
      <c r="T38" s="181" t="str">
        <f ca="1">IF(B38="","",IF(ISERROR(MATCH($J38,SorP!$B$1:$B$6279,0)),"",INDIRECT("'SorP'!$A$"&amp;MATCH($S38&amp;$J38,SorP!C:C,0))))</f>
        <v>AT-9</v>
      </c>
      <c r="U38" s="201"/>
      <c r="V38" s="226">
        <f ca="1">IF(C38="",NA(),IF(OR(C38="Smelter not listed",C38="Smelter not yet identified"),MATCH($B38&amp;$D38,'Smelter Look-up'!$J:$J,0),MATCH($B38&amp;$C38,'Smelter Look-up'!$J:$J,0)))</f>
        <v>196</v>
      </c>
      <c r="X38" s="227">
        <f t="shared" ref="X38:X68" ca="1" si="7">IF(AND(C38="Smelter not listed",OR(LEN(D38)=0,LEN(E38)=0)),1,0)</f>
        <v>0</v>
      </c>
      <c r="AB38" s="228" t="str">
        <f t="shared" ref="AB38:AB68" ca="1" si="8">B38&amp;C38</f>
        <v>GoldOgussa Osterreichische Gold- und Silber-Scheideanstalt GmbH</v>
      </c>
    </row>
    <row r="39" spans="1:28" s="227" customFormat="1" ht="25.2">
      <c r="A39" s="181" t="s">
        <v>716</v>
      </c>
      <c r="B39" s="182" t="str">
        <f ca="1">IF(LEN(A39)=0,"",INDEX('Smelter Look-up'!$A:$A,MATCH($A39,'Smelter Look-up'!$E:$E,0)))</f>
        <v>Gold</v>
      </c>
      <c r="C39" s="186" t="str">
        <f ca="1">IF(LEN(A39)=0,"",INDEX('Smelter Look-up'!$C:$C,MATCH($A39,'Smelter Look-up'!$E:$E,0)))</f>
        <v>MKS PAMP SA</v>
      </c>
      <c r="D39" s="230" t="s">
        <v>2313</v>
      </c>
      <c r="E39" s="182" t="str">
        <f ca="1">IF(ISERROR($V39),"",OFFSET('Smelter Look-up'!$D$4,$V39-4,0)&amp;"")</f>
        <v>SWITZERLAND</v>
      </c>
      <c r="F39" s="182" t="str">
        <f ca="1">IF(ISERROR($V39),"",OFFSET('Smelter Look-up'!$E$4,$V39-4,0))</f>
        <v>CID001352</v>
      </c>
      <c r="G39" s="182" t="str">
        <f ca="1">IF(C39=$X$4,IF(ISERROR($V39),"Enter smelter details","RMI"),IF(ISERROR($V39),"",OFFSET('Smelter Look-up'!$F$4,$V39-4,0)))</f>
        <v>RMI</v>
      </c>
      <c r="H39" s="183">
        <f ca="1">IF(ISERROR($V39),"",OFFSET('Smelter Look-up'!$G$4,$V39-4,0))</f>
        <v>0</v>
      </c>
      <c r="I39" s="184" t="str">
        <f ca="1">IF(ISERROR($V39),"",OFFSET('Smelter Look-up'!$H$4,$V39-4,0))</f>
        <v>Geneva</v>
      </c>
      <c r="J39" s="184" t="str">
        <f ca="1">IF(ISERROR($V39),"",OFFSET('Smelter Look-up'!$I$4,$V39-4,0))</f>
        <v>Genève</v>
      </c>
      <c r="K39" s="224"/>
      <c r="L39" s="224"/>
      <c r="M39" s="224"/>
      <c r="N39" s="224"/>
      <c r="O39" s="224"/>
      <c r="P39" s="185"/>
      <c r="Q39" s="225"/>
      <c r="R39" s="182" t="str">
        <f ca="1">IF(ISERROR($V39),"",OFFSET('Smelter Look-up'!$C$4,$V39-4,0)&amp;"")</f>
        <v>MKS PAMP SA</v>
      </c>
      <c r="S39" s="181" t="str">
        <f t="shared" ca="1" si="6"/>
        <v>CH</v>
      </c>
      <c r="T39" s="181" t="str">
        <f ca="1">IF(B39="","",IF(ISERROR(MATCH($J39,SorP!$B$1:$B$6279,0)),"",INDIRECT("'SorP'!$A$"&amp;MATCH($S39&amp;$J39,SorP!C:C,0))))</f>
        <v>CH-GE</v>
      </c>
      <c r="U39" s="201"/>
      <c r="V39" s="226">
        <f ca="1">IF(C39="",NA(),IF(OR(C39="Smelter not listed",C39="Smelter not yet identified"),MATCH($B39&amp;$D39,'Smelter Look-up'!$J:$J,0),MATCH($B39&amp;$C39,'Smelter Look-up'!$J:$J,0)))</f>
        <v>184</v>
      </c>
      <c r="X39" s="227">
        <f t="shared" ca="1" si="7"/>
        <v>0</v>
      </c>
      <c r="AB39" s="228" t="str">
        <f t="shared" ca="1" si="8"/>
        <v>GoldMKS PAMP SA</v>
      </c>
    </row>
    <row r="40" spans="1:28" s="227" customFormat="1" ht="50.4">
      <c r="A40" s="181" t="s">
        <v>722</v>
      </c>
      <c r="B40" s="182" t="str">
        <f ca="1">IF(LEN(A40)=0,"",INDEX('Smelter Look-up'!$A:$A,MATCH($A40,'Smelter Look-up'!$E:$E,0)))</f>
        <v>Gold</v>
      </c>
      <c r="C40" s="186" t="str">
        <f ca="1">IF(LEN(A40)=0,"",INDEX('Smelter Look-up'!$C:$C,MATCH($A40,'Smelter Look-up'!$E:$E,0)))</f>
        <v>Royal Canadian Mint</v>
      </c>
      <c r="D40" s="230" t="s">
        <v>909</v>
      </c>
      <c r="E40" s="182" t="str">
        <f ca="1">IF(ISERROR($V40),"",OFFSET('Smelter Look-up'!$D$4,$V40-4,0)&amp;"")</f>
        <v>CANADA</v>
      </c>
      <c r="F40" s="182" t="str">
        <f ca="1">IF(ISERROR($V40),"",OFFSET('Smelter Look-up'!$E$4,$V40-4,0))</f>
        <v>CID001534</v>
      </c>
      <c r="G40" s="182" t="str">
        <f ca="1">IF(C40=$X$4,IF(ISERROR($V40),"Enter smelter details","RMI"),IF(ISERROR($V40),"",OFFSET('Smelter Look-up'!$F$4,$V40-4,0)))</f>
        <v>RMI</v>
      </c>
      <c r="H40" s="183">
        <f ca="1">IF(ISERROR($V40),"",OFFSET('Smelter Look-up'!$G$4,$V40-4,0))</f>
        <v>0</v>
      </c>
      <c r="I40" s="184" t="str">
        <f ca="1">IF(ISERROR($V40),"",OFFSET('Smelter Look-up'!$H$4,$V40-4,0))</f>
        <v>Ottawa</v>
      </c>
      <c r="J40" s="184" t="str">
        <f ca="1">IF(ISERROR($V40),"",OFFSET('Smelter Look-up'!$I$4,$V40-4,0))</f>
        <v>Ontario</v>
      </c>
      <c r="K40" s="224"/>
      <c r="L40" s="224"/>
      <c r="M40" s="224"/>
      <c r="N40" s="224"/>
      <c r="O40" s="224"/>
      <c r="P40" s="185"/>
      <c r="Q40" s="225"/>
      <c r="R40" s="182" t="str">
        <f ca="1">IF(ISERROR($V40),"",OFFSET('Smelter Look-up'!$C$4,$V40-4,0)&amp;"")</f>
        <v>Royal Canadian Mint</v>
      </c>
      <c r="S40" s="181" t="str">
        <f t="shared" ca="1" si="6"/>
        <v>CA</v>
      </c>
      <c r="T40" s="181" t="str">
        <f ca="1">IF(B40="","",IF(ISERROR(MATCH($J40,SorP!$B$1:$B$6279,0)),"",INDIRECT("'SorP'!$A$"&amp;MATCH($S40&amp;$J40,SorP!C:C,0))))</f>
        <v>CA-ON</v>
      </c>
      <c r="U40" s="201"/>
      <c r="V40" s="226">
        <f ca="1">IF(C40="",NA(),IF(OR(C40="Smelter not listed",C40="Smelter not yet identified"),MATCH($B40&amp;$D40,'Smelter Look-up'!$J:$J,0),MATCH($B40&amp;$C40,'Smelter Look-up'!$J:$J,0)))</f>
        <v>220</v>
      </c>
      <c r="X40" s="227">
        <f t="shared" ca="1" si="7"/>
        <v>0</v>
      </c>
      <c r="AB40" s="228" t="str">
        <f t="shared" ca="1" si="8"/>
        <v>GoldRoyal Canadian Mint</v>
      </c>
    </row>
    <row r="41" spans="1:28" s="227" customFormat="1" ht="75.599999999999994">
      <c r="A41" s="181" t="s">
        <v>732</v>
      </c>
      <c r="B41" s="182" t="str">
        <f ca="1">IF(LEN(A41)=0,"",INDEX('Smelter Look-up'!$A:$A,MATCH($A41,'Smelter Look-up'!$E:$E,0)))</f>
        <v>Gold</v>
      </c>
      <c r="C41" s="186" t="str">
        <f ca="1">IF(LEN(A41)=0,"",INDEX('Smelter Look-up'!$C:$C,MATCH($A41,'Smelter Look-up'!$E:$E,0)))</f>
        <v>Shandong Gold Smelting Co., Ltd.</v>
      </c>
      <c r="D41" s="230" t="s">
        <v>15048</v>
      </c>
      <c r="E41" s="182" t="str">
        <f ca="1">IF(ISERROR($V41),"",OFFSET('Smelter Look-up'!$D$4,$V41-4,0)&amp;"")</f>
        <v>CHINA</v>
      </c>
      <c r="F41" s="182" t="str">
        <f ca="1">IF(ISERROR($V41),"",OFFSET('Smelter Look-up'!$E$4,$V41-4,0))</f>
        <v>CID001916</v>
      </c>
      <c r="G41" s="182" t="str">
        <f ca="1">IF(C41=$X$4,IF(ISERROR($V41),"Enter smelter details","RMI"),IF(ISERROR($V41),"",OFFSET('Smelter Look-up'!$F$4,$V41-4,0)))</f>
        <v>RMI</v>
      </c>
      <c r="H41" s="183">
        <f ca="1">IF(ISERROR($V41),"",OFFSET('Smelter Look-up'!$G$4,$V41-4,0))</f>
        <v>0</v>
      </c>
      <c r="I41" s="184" t="str">
        <f ca="1">IF(ISERROR($V41),"",OFFSET('Smelter Look-up'!$H$4,$V41-4,0))</f>
        <v>Laizhou</v>
      </c>
      <c r="J41" s="184" t="str">
        <f ca="1">IF(ISERROR($V41),"",OFFSET('Smelter Look-up'!$I$4,$V41-4,0))</f>
        <v>Shandong Sheng</v>
      </c>
      <c r="K41" s="224"/>
      <c r="L41" s="224"/>
      <c r="M41" s="224"/>
      <c r="N41" s="224"/>
      <c r="O41" s="224"/>
      <c r="P41" s="185"/>
      <c r="Q41" s="225"/>
      <c r="R41" s="182" t="str">
        <f ca="1">IF(ISERROR($V41),"",OFFSET('Smelter Look-up'!$C$4,$V41-4,0)&amp;"")</f>
        <v>Shandong Gold Smelting Co., Ltd.</v>
      </c>
      <c r="S41" s="181" t="str">
        <f t="shared" ca="1" si="6"/>
        <v>CN</v>
      </c>
      <c r="T41" s="181" t="str">
        <f ca="1">IF(B41="","",IF(ISERROR(MATCH($J41,SorP!$B$1:$B$6279,0)),"",INDIRECT("'SorP'!$A$"&amp;MATCH($S41&amp;$J41,SorP!C:C,0))))</f>
        <v>CN-SD</v>
      </c>
      <c r="U41" s="201"/>
      <c r="V41" s="226">
        <f ca="1">IF(C41="",NA(),IF(OR(C41="Smelter not listed",C41="Smelter not yet identified"),MATCH($B41&amp;$D41,'Smelter Look-up'!$J:$J,0),MATCH($B41&amp;$C41,'Smelter Look-up'!$J:$J,0)))</f>
        <v>239</v>
      </c>
      <c r="X41" s="227">
        <f t="shared" ca="1" si="7"/>
        <v>0</v>
      </c>
      <c r="AB41" s="228" t="str">
        <f t="shared" ca="1" si="8"/>
        <v>GoldShandong Gold Smelting Co., Ltd.</v>
      </c>
    </row>
    <row r="42" spans="1:28" s="227" customFormat="1" ht="88.2">
      <c r="A42" s="181" t="s">
        <v>726</v>
      </c>
      <c r="B42" s="182" t="str">
        <f ca="1">IF(LEN(A42)=0,"",INDEX('Smelter Look-up'!$A:$A,MATCH($A42,'Smelter Look-up'!$E:$E,0)))</f>
        <v>Gold</v>
      </c>
      <c r="C42" s="186" t="str">
        <f ca="1">IF(LEN(A42)=0,"",INDEX('Smelter Look-up'!$C:$C,MATCH($A42,'Smelter Look-up'!$E:$E,0)))</f>
        <v>Shandong Zhaojin Gold &amp; Silver Refinery Co., Ltd.</v>
      </c>
      <c r="D42" s="230" t="s">
        <v>2160</v>
      </c>
      <c r="E42" s="182" t="str">
        <f ca="1">IF(ISERROR($V42),"",OFFSET('Smelter Look-up'!$D$4,$V42-4,0)&amp;"")</f>
        <v>CHINA</v>
      </c>
      <c r="F42" s="182" t="str">
        <f ca="1">IF(ISERROR($V42),"",OFFSET('Smelter Look-up'!$E$4,$V42-4,0))</f>
        <v>CID001622</v>
      </c>
      <c r="G42" s="182" t="str">
        <f ca="1">IF(C42=$X$4,IF(ISERROR($V42),"Enter smelter details","RMI"),IF(ISERROR($V42),"",OFFSET('Smelter Look-up'!$F$4,$V42-4,0)))</f>
        <v>RMI</v>
      </c>
      <c r="H42" s="183">
        <f ca="1">IF(ISERROR($V42),"",OFFSET('Smelter Look-up'!$G$4,$V42-4,0))</f>
        <v>0</v>
      </c>
      <c r="I42" s="184" t="str">
        <f ca="1">IF(ISERROR($V42),"",OFFSET('Smelter Look-up'!$H$4,$V42-4,0))</f>
        <v>Zhaoyuan</v>
      </c>
      <c r="J42" s="184" t="str">
        <f ca="1">IF(ISERROR($V42),"",OFFSET('Smelter Look-up'!$I$4,$V42-4,0))</f>
        <v>Shandong Sheng</v>
      </c>
      <c r="K42" s="224"/>
      <c r="L42" s="224"/>
      <c r="M42" s="224"/>
      <c r="N42" s="224"/>
      <c r="O42" s="224"/>
      <c r="P42" s="185"/>
      <c r="Q42" s="225"/>
      <c r="R42" s="182" t="str">
        <f ca="1">IF(ISERROR($V42),"",OFFSET('Smelter Look-up'!$C$4,$V42-4,0)&amp;"")</f>
        <v>Shandong Zhaojin Gold &amp; Silver Refinery Co., Ltd.</v>
      </c>
      <c r="S42" s="181" t="str">
        <f t="shared" ca="1" si="6"/>
        <v>CN</v>
      </c>
      <c r="T42" s="181" t="str">
        <f ca="1">IF(B42="","",IF(ISERROR(MATCH($J42,SorP!$B$1:$B$6279,0)),"",INDIRECT("'SorP'!$A$"&amp;MATCH($S42&amp;$J42,SorP!C:C,0))))</f>
        <v>CN-SD</v>
      </c>
      <c r="U42" s="201"/>
      <c r="V42" s="226">
        <f ca="1">IF(C42="",NA(),IF(OR(C42="Smelter not listed",C42="Smelter not yet identified"),MATCH($B42&amp;$D42,'Smelter Look-up'!$J:$J,0),MATCH($B42&amp;$C42,'Smelter Look-up'!$J:$J,0)))</f>
        <v>246</v>
      </c>
      <c r="X42" s="227">
        <f t="shared" ca="1" si="7"/>
        <v>0</v>
      </c>
      <c r="AB42" s="228" t="str">
        <f t="shared" ca="1" si="8"/>
        <v>GoldShandong Zhaojin Gold &amp; Silver Refinery Co., Ltd.</v>
      </c>
    </row>
    <row r="43" spans="1:28" s="227" customFormat="1" ht="75.599999999999994">
      <c r="A43" s="181" t="s">
        <v>728</v>
      </c>
      <c r="B43" s="182" t="str">
        <f ca="1">IF(LEN(A43)=0,"",INDEX('Smelter Look-up'!$A:$A,MATCH($A43,'Smelter Look-up'!$E:$E,0)))</f>
        <v>Gold</v>
      </c>
      <c r="C43" s="186" t="str">
        <f ca="1">IF(LEN(A43)=0,"",INDEX('Smelter Look-up'!$C:$C,MATCH($A43,'Smelter Look-up'!$E:$E,0)))</f>
        <v>Solar Applied Materials Technology Corp.</v>
      </c>
      <c r="D43" s="230" t="s">
        <v>911</v>
      </c>
      <c r="E43" s="182" t="str">
        <f ca="1">IF(ISERROR($V43),"",OFFSET('Smelter Look-up'!$D$4,$V43-4,0)&amp;"")</f>
        <v>TAIWAN, PROVINCE OF CHINA</v>
      </c>
      <c r="F43" s="182" t="str">
        <f ca="1">IF(ISERROR($V43),"",OFFSET('Smelter Look-up'!$E$4,$V43-4,0))</f>
        <v>CID001761</v>
      </c>
      <c r="G43" s="182" t="str">
        <f ca="1">IF(C43=$X$4,IF(ISERROR($V43),"Enter smelter details","RMI"),IF(ISERROR($V43),"",OFFSET('Smelter Look-up'!$F$4,$V43-4,0)))</f>
        <v>RMI</v>
      </c>
      <c r="H43" s="183">
        <f ca="1">IF(ISERROR($V43),"",OFFSET('Smelter Look-up'!$G$4,$V43-4,0))</f>
        <v>0</v>
      </c>
      <c r="I43" s="184" t="str">
        <f ca="1">IF(ISERROR($V43),"",OFFSET('Smelter Look-up'!$H$4,$V43-4,0))</f>
        <v>Tainan City</v>
      </c>
      <c r="J43" s="184" t="str">
        <f ca="1">IF(ISERROR($V43),"",OFFSET('Smelter Look-up'!$I$4,$V43-4,0))</f>
        <v>Tainan</v>
      </c>
      <c r="K43" s="224"/>
      <c r="L43" s="224"/>
      <c r="M43" s="224"/>
      <c r="N43" s="224"/>
      <c r="O43" s="224"/>
      <c r="P43" s="185"/>
      <c r="Q43" s="225"/>
      <c r="R43" s="182" t="str">
        <f ca="1">IF(ISERROR($V43),"",OFFSET('Smelter Look-up'!$C$4,$V43-4,0)&amp;"")</f>
        <v>Solar Applied Materials Technology Corp.</v>
      </c>
      <c r="S43" s="181" t="str">
        <f t="shared" ca="1" si="6"/>
        <v>TW</v>
      </c>
      <c r="T43" s="181" t="str">
        <f ca="1">IF(B43="","",IF(ISERROR(MATCH($J43,SorP!$B$1:$B$6279,0)),"",INDIRECT("'SorP'!$A$"&amp;MATCH($S43&amp;$J43,SorP!C:C,0))))</f>
        <v>TW-TNN</v>
      </c>
      <c r="U43" s="201"/>
      <c r="V43" s="226">
        <f ca="1">IF(C43="",NA(),IF(OR(C43="Smelter not listed",C43="Smelter not yet identified"),MATCH($B43&amp;$D43,'Smelter Look-up'!$J:$J,0),MATCH($B43&amp;$C43,'Smelter Look-up'!$J:$J,0)))</f>
        <v>258</v>
      </c>
      <c r="X43" s="227">
        <f t="shared" ca="1" si="7"/>
        <v>0</v>
      </c>
      <c r="AB43" s="228" t="str">
        <f t="shared" ca="1" si="8"/>
        <v>GoldSolar Applied Materials Technology Corp.</v>
      </c>
    </row>
    <row r="44" spans="1:28" s="227" customFormat="1" ht="63">
      <c r="A44" s="181" t="s">
        <v>729</v>
      </c>
      <c r="B44" s="182" t="str">
        <f ca="1">IF(LEN(A44)=0,"",INDEX('Smelter Look-up'!$A:$A,MATCH($A44,'Smelter Look-up'!$E:$E,0)))</f>
        <v>Gold</v>
      </c>
      <c r="C44" s="186" t="str">
        <f ca="1">IF(LEN(A44)=0,"",INDEX('Smelter Look-up'!$C:$C,MATCH($A44,'Smelter Look-up'!$E:$E,0)))</f>
        <v>Sumitomo Metal Mining Co., Ltd.</v>
      </c>
      <c r="D44" s="230" t="s">
        <v>58</v>
      </c>
      <c r="E44" s="182" t="str">
        <f ca="1">IF(ISERROR($V44),"",OFFSET('Smelter Look-up'!$D$4,$V44-4,0)&amp;"")</f>
        <v>JAPAN</v>
      </c>
      <c r="F44" s="182" t="str">
        <f ca="1">IF(ISERROR($V44),"",OFFSET('Smelter Look-up'!$E$4,$V44-4,0))</f>
        <v>CID001798</v>
      </c>
      <c r="G44" s="182" t="str">
        <f ca="1">IF(C44=$X$4,IF(ISERROR($V44),"Enter smelter details","RMI"),IF(ISERROR($V44),"",OFFSET('Smelter Look-up'!$F$4,$V44-4,0)))</f>
        <v>RMI</v>
      </c>
      <c r="H44" s="183">
        <f ca="1">IF(ISERROR($V44),"",OFFSET('Smelter Look-up'!$G$4,$V44-4,0))</f>
        <v>0</v>
      </c>
      <c r="I44" s="184" t="str">
        <f ca="1">IF(ISERROR($V44),"",OFFSET('Smelter Look-up'!$H$4,$V44-4,0))</f>
        <v>Saijo</v>
      </c>
      <c r="J44" s="184" t="str">
        <f ca="1">IF(ISERROR($V44),"",OFFSET('Smelter Look-up'!$I$4,$V44-4,0))</f>
        <v>Ehime</v>
      </c>
      <c r="K44" s="224"/>
      <c r="L44" s="224"/>
      <c r="M44" s="224"/>
      <c r="N44" s="224"/>
      <c r="O44" s="224"/>
      <c r="P44" s="185"/>
      <c r="Q44" s="225"/>
      <c r="R44" s="182" t="str">
        <f ca="1">IF(ISERROR($V44),"",OFFSET('Smelter Look-up'!$C$4,$V44-4,0)&amp;"")</f>
        <v>Sumitomo Metal Mining Co., Ltd.</v>
      </c>
      <c r="S44" s="181" t="str">
        <f t="shared" ca="1" si="6"/>
        <v>JP</v>
      </c>
      <c r="T44" s="181" t="str">
        <f ca="1">IF(B44="","",IF(ISERROR(MATCH($J44,SorP!$B$1:$B$6279,0)),"",INDIRECT("'SorP'!$A$"&amp;MATCH($S44&amp;$J44,SorP!C:C,0))))</f>
        <v>JP-38</v>
      </c>
      <c r="U44" s="201"/>
      <c r="V44" s="226">
        <f ca="1">IF(C44="",NA(),IF(OR(C44="Smelter not listed",C44="Smelter not yet identified"),MATCH($B44&amp;$D44,'Smelter Look-up'!$J:$J,0),MATCH($B44&amp;$C44,'Smelter Look-up'!$J:$J,0)))</f>
        <v>265</v>
      </c>
      <c r="X44" s="227">
        <f t="shared" ca="1" si="7"/>
        <v>0</v>
      </c>
      <c r="AB44" s="228" t="str">
        <f t="shared" ca="1" si="8"/>
        <v>GoldSumitomo Metal Mining Co., Ltd.</v>
      </c>
    </row>
    <row r="45" spans="1:28" s="227" customFormat="1" ht="63">
      <c r="A45" s="181" t="s">
        <v>730</v>
      </c>
      <c r="B45" s="182" t="str">
        <f ca="1">IF(LEN(A45)=0,"",INDEX('Smelter Look-up'!$A:$A,MATCH($A45,'Smelter Look-up'!$E:$E,0)))</f>
        <v>Gold</v>
      </c>
      <c r="C45" s="186" t="str">
        <f ca="1">IF(LEN(A45)=0,"",INDEX('Smelter Look-up'!$C:$C,MATCH($A45,'Smelter Look-up'!$E:$E,0)))</f>
        <v>Tanaka Kikinzoku Kogyo K.K.</v>
      </c>
      <c r="D45" s="230" t="s">
        <v>1228</v>
      </c>
      <c r="E45" s="182" t="str">
        <f ca="1">IF(ISERROR($V45),"",OFFSET('Smelter Look-up'!$D$4,$V45-4,0)&amp;"")</f>
        <v>JAPAN</v>
      </c>
      <c r="F45" s="182" t="str">
        <f ca="1">IF(ISERROR($V45),"",OFFSET('Smelter Look-up'!$E$4,$V45-4,0))</f>
        <v>CID001875</v>
      </c>
      <c r="G45" s="182" t="str">
        <f ca="1">IF(C45=$X$4,IF(ISERROR($V45),"Enter smelter details","RMI"),IF(ISERROR($V45),"",OFFSET('Smelter Look-up'!$F$4,$V45-4,0)))</f>
        <v>RMI</v>
      </c>
      <c r="H45" s="183">
        <f ca="1">IF(ISERROR($V45),"",OFFSET('Smelter Look-up'!$G$4,$V45-4,0))</f>
        <v>0</v>
      </c>
      <c r="I45" s="184" t="str">
        <f ca="1">IF(ISERROR($V45),"",OFFSET('Smelter Look-up'!$H$4,$V45-4,0))</f>
        <v>Hiratsuka</v>
      </c>
      <c r="J45" s="184" t="str">
        <f ca="1">IF(ISERROR($V45),"",OFFSET('Smelter Look-up'!$I$4,$V45-4,0))</f>
        <v>Kanagawa</v>
      </c>
      <c r="K45" s="224"/>
      <c r="L45" s="224"/>
      <c r="M45" s="224"/>
      <c r="N45" s="224"/>
      <c r="O45" s="224"/>
      <c r="P45" s="185"/>
      <c r="Q45" s="225"/>
      <c r="R45" s="182" t="str">
        <f ca="1">IF(ISERROR($V45),"",OFFSET('Smelter Look-up'!$C$4,$V45-4,0)&amp;"")</f>
        <v>Tanaka Kikinzoku Kogyo K.K.</v>
      </c>
      <c r="S45" s="181" t="str">
        <f t="shared" ca="1" si="6"/>
        <v>JP</v>
      </c>
      <c r="T45" s="181" t="str">
        <f ca="1">IF(B45="","",IF(ISERROR(MATCH($J45,SorP!$B$1:$B$6279,0)),"",INDIRECT("'SorP'!$A$"&amp;MATCH($S45&amp;$J45,SorP!C:C,0))))</f>
        <v>JP-14</v>
      </c>
      <c r="U45" s="201"/>
      <c r="V45" s="226">
        <f ca="1">IF(C45="",NA(),IF(OR(C45="Smelter not listed",C45="Smelter not yet identified"),MATCH($B45&amp;$D45,'Smelter Look-up'!$J:$J,0),MATCH($B45&amp;$C45,'Smelter Look-up'!$J:$J,0)))</f>
        <v>278</v>
      </c>
      <c r="X45" s="227">
        <f t="shared" ca="1" si="7"/>
        <v>0</v>
      </c>
      <c r="AB45" s="228" t="str">
        <f t="shared" ca="1" si="8"/>
        <v>GoldTanaka Kikinzoku Kogyo K.K.</v>
      </c>
    </row>
    <row r="46" spans="1:28" s="227" customFormat="1" ht="50.4">
      <c r="A46" s="181" t="s">
        <v>733</v>
      </c>
      <c r="B46" s="182" t="str">
        <f ca="1">IF(LEN(A46)=0,"",INDEX('Smelter Look-up'!$A:$A,MATCH($A46,'Smelter Look-up'!$E:$E,0)))</f>
        <v>Gold</v>
      </c>
      <c r="C46" s="186" t="str">
        <f ca="1">IF(LEN(A46)=0,"",INDEX('Smelter Look-up'!$C:$C,MATCH($A46,'Smelter Look-up'!$E:$E,0)))</f>
        <v>Tokuriki Honten Co., Ltd.</v>
      </c>
      <c r="D46" s="230" t="s">
        <v>2163</v>
      </c>
      <c r="E46" s="182" t="str">
        <f ca="1">IF(ISERROR($V46),"",OFFSET('Smelter Look-up'!$D$4,$V46-4,0)&amp;"")</f>
        <v>JAPAN</v>
      </c>
      <c r="F46" s="182" t="str">
        <f ca="1">IF(ISERROR($V46),"",OFFSET('Smelter Look-up'!$E$4,$V46-4,0))</f>
        <v>CID001938</v>
      </c>
      <c r="G46" s="182" t="str">
        <f ca="1">IF(C46=$X$4,IF(ISERROR($V46),"Enter smelter details","RMI"),IF(ISERROR($V46),"",OFFSET('Smelter Look-up'!$F$4,$V46-4,0)))</f>
        <v>RMI</v>
      </c>
      <c r="H46" s="183">
        <f ca="1">IF(ISERROR($V46),"",OFFSET('Smelter Look-up'!$G$4,$V46-4,0))</f>
        <v>0</v>
      </c>
      <c r="I46" s="184" t="str">
        <f ca="1">IF(ISERROR($V46),"",OFFSET('Smelter Look-up'!$H$4,$V46-4,0))</f>
        <v>Kuki</v>
      </c>
      <c r="J46" s="184" t="str">
        <f ca="1">IF(ISERROR($V46),"",OFFSET('Smelter Look-up'!$I$4,$V46-4,0))</f>
        <v>Saitama</v>
      </c>
      <c r="K46" s="224"/>
      <c r="L46" s="224"/>
      <c r="M46" s="224"/>
      <c r="N46" s="224"/>
      <c r="O46" s="224"/>
      <c r="P46" s="185"/>
      <c r="Q46" s="225"/>
      <c r="R46" s="182" t="str">
        <f ca="1">IF(ISERROR($V46),"",OFFSET('Smelter Look-up'!$C$4,$V46-4,0)&amp;"")</f>
        <v>Tokuriki Honten Co., Ltd.</v>
      </c>
      <c r="S46" s="181" t="str">
        <f t="shared" ca="1" si="6"/>
        <v>JP</v>
      </c>
      <c r="T46" s="181" t="str">
        <f ca="1">IF(B46="","",IF(ISERROR(MATCH($J46,SorP!$B$1:$B$6279,0)),"",INDIRECT("'SorP'!$A$"&amp;MATCH($S46&amp;$J46,SorP!C:C,0))))</f>
        <v>JP-11</v>
      </c>
      <c r="U46" s="201"/>
      <c r="V46" s="226">
        <f ca="1">IF(C46="",NA(),IF(OR(C46="Smelter not listed",C46="Smelter not yet identified"),MATCH($B46&amp;$D46,'Smelter Look-up'!$J:$J,0),MATCH($B46&amp;$C46,'Smelter Look-up'!$J:$J,0)))</f>
        <v>283</v>
      </c>
      <c r="X46" s="227">
        <f t="shared" ca="1" si="7"/>
        <v>0</v>
      </c>
      <c r="AB46" s="228" t="str">
        <f t="shared" ca="1" si="8"/>
        <v>GoldTokuriki Honten Co., Ltd.</v>
      </c>
    </row>
    <row r="47" spans="1:28" s="227" customFormat="1" ht="100.8">
      <c r="A47" s="181" t="s">
        <v>736</v>
      </c>
      <c r="B47" s="182" t="str">
        <f ca="1">IF(LEN(A47)=0,"",INDEX('Smelter Look-up'!$A:$A,MATCH($A47,'Smelter Look-up'!$E:$E,0)))</f>
        <v>Gold</v>
      </c>
      <c r="C47" s="186" t="str">
        <f ca="1">IF(LEN(A47)=0,"",INDEX('Smelter Look-up'!$C:$C,MATCH($A47,'Smelter Look-up'!$E:$E,0)))</f>
        <v>Umicore S.A. Business Unit Precious Metals Refining</v>
      </c>
      <c r="D47" s="230" t="s">
        <v>2331</v>
      </c>
      <c r="E47" s="182" t="str">
        <f ca="1">IF(ISERROR($V47),"",OFFSET('Smelter Look-up'!$D$4,$V47-4,0)&amp;"")</f>
        <v>BELGIUM</v>
      </c>
      <c r="F47" s="182" t="str">
        <f ca="1">IF(ISERROR($V47),"",OFFSET('Smelter Look-up'!$E$4,$V47-4,0))</f>
        <v>CID001980</v>
      </c>
      <c r="G47" s="182" t="str">
        <f ca="1">IF(C47=$X$4,IF(ISERROR($V47),"Enter smelter details","RMI"),IF(ISERROR($V47),"",OFFSET('Smelter Look-up'!$F$4,$V47-4,0)))</f>
        <v>RMI</v>
      </c>
      <c r="H47" s="183">
        <f ca="1">IF(ISERROR($V47),"",OFFSET('Smelter Look-up'!$G$4,$V47-4,0))</f>
        <v>0</v>
      </c>
      <c r="I47" s="184" t="str">
        <f ca="1">IF(ISERROR($V47),"",OFFSET('Smelter Look-up'!$H$4,$V47-4,0))</f>
        <v>Hoboken</v>
      </c>
      <c r="J47" s="184" t="str">
        <f ca="1">IF(ISERROR($V47),"",OFFSET('Smelter Look-up'!$I$4,$V47-4,0))</f>
        <v>Antwerpen</v>
      </c>
      <c r="K47" s="224"/>
      <c r="L47" s="224"/>
      <c r="M47" s="224"/>
      <c r="N47" s="224"/>
      <c r="O47" s="224"/>
      <c r="P47" s="185"/>
      <c r="Q47" s="225"/>
      <c r="R47" s="182" t="str">
        <f ca="1">IF(ISERROR($V47),"",OFFSET('Smelter Look-up'!$C$4,$V47-4,0)&amp;"")</f>
        <v>Umicore S.A. Business Unit Precious Metals Refining</v>
      </c>
      <c r="S47" s="181" t="str">
        <f t="shared" ca="1" si="6"/>
        <v>BE</v>
      </c>
      <c r="T47" s="181" t="str">
        <f ca="1">IF(B47="","",IF(ISERROR(MATCH($J47,SorP!$B$1:$B$6279,0)),"",INDIRECT("'SorP'!$A$"&amp;MATCH($S47&amp;$J47,SorP!C:C,0))))</f>
        <v>BE-VAN</v>
      </c>
      <c r="U47" s="201"/>
      <c r="V47" s="226">
        <f ca="1">IF(C47="",NA(),IF(OR(C47="Smelter not listed",C47="Smelter not yet identified"),MATCH($B47&amp;$D47,'Smelter Look-up'!$J:$J,0),MATCH($B47&amp;$C47,'Smelter Look-up'!$J:$J,0)))</f>
        <v>293</v>
      </c>
      <c r="X47" s="227">
        <f t="shared" ca="1" si="7"/>
        <v>0</v>
      </c>
      <c r="AB47" s="228" t="str">
        <f t="shared" ca="1" si="8"/>
        <v>GoldUmicore S.A. Business Unit Precious Metals Refining</v>
      </c>
    </row>
    <row r="48" spans="1:28" s="227" customFormat="1" ht="75.599999999999994">
      <c r="A48" s="181" t="s">
        <v>737</v>
      </c>
      <c r="B48" s="182" t="str">
        <f ca="1">IF(LEN(A48)=0,"",INDEX('Smelter Look-up'!$A:$A,MATCH($A48,'Smelter Look-up'!$E:$E,0)))</f>
        <v>Gold</v>
      </c>
      <c r="C48" s="186" t="str">
        <f ca="1">IF(LEN(A48)=0,"",INDEX('Smelter Look-up'!$C:$C,MATCH($A48,'Smelter Look-up'!$E:$E,0)))</f>
        <v>United Precious Metal Refining, Inc.</v>
      </c>
      <c r="D48" s="230" t="s">
        <v>816</v>
      </c>
      <c r="E48" s="182" t="str">
        <f ca="1">IF(ISERROR($V48),"",OFFSET('Smelter Look-up'!$D$4,$V48-4,0)&amp;"")</f>
        <v>UNITED STATES OF AMERICA</v>
      </c>
      <c r="F48" s="182" t="str">
        <f ca="1">IF(ISERROR($V48),"",OFFSET('Smelter Look-up'!$E$4,$V48-4,0))</f>
        <v>CID001993</v>
      </c>
      <c r="G48" s="182" t="str">
        <f ca="1">IF(C48=$X$4,IF(ISERROR($V48),"Enter smelter details","RMI"),IF(ISERROR($V48),"",OFFSET('Smelter Look-up'!$F$4,$V48-4,0)))</f>
        <v>RMI</v>
      </c>
      <c r="H48" s="183">
        <f ca="1">IF(ISERROR($V48),"",OFFSET('Smelter Look-up'!$G$4,$V48-4,0))</f>
        <v>0</v>
      </c>
      <c r="I48" s="184" t="str">
        <f ca="1">IF(ISERROR($V48),"",OFFSET('Smelter Look-up'!$H$4,$V48-4,0))</f>
        <v>Alden</v>
      </c>
      <c r="J48" s="184" t="str">
        <f ca="1">IF(ISERROR($V48),"",OFFSET('Smelter Look-up'!$I$4,$V48-4,0))</f>
        <v>New York</v>
      </c>
      <c r="K48" s="224"/>
      <c r="L48" s="224"/>
      <c r="M48" s="224"/>
      <c r="N48" s="224"/>
      <c r="O48" s="224"/>
      <c r="P48" s="185"/>
      <c r="Q48" s="225"/>
      <c r="R48" s="182" t="str">
        <f ca="1">IF(ISERROR($V48),"",OFFSET('Smelter Look-up'!$C$4,$V48-4,0)&amp;"")</f>
        <v>United Precious Metal Refining, Inc.</v>
      </c>
      <c r="S48" s="181" t="str">
        <f t="shared" ca="1" si="6"/>
        <v>US</v>
      </c>
      <c r="T48" s="181" t="str">
        <f ca="1">IF(B48="","",IF(ISERROR(MATCH($J48,SorP!$B$1:$B$6279,0)),"",INDIRECT("'SorP'!$A$"&amp;MATCH($S48&amp;$J48,SorP!C:C,0))))</f>
        <v>US-NY</v>
      </c>
      <c r="U48" s="201"/>
      <c r="V48" s="226">
        <f ca="1">IF(C48="",NA(),IF(OR(C48="Smelter not listed",C48="Smelter not yet identified"),MATCH($B48&amp;$D48,'Smelter Look-up'!$J:$J,0),MATCH($B48&amp;$C48,'Smelter Look-up'!$J:$J,0)))</f>
        <v>294</v>
      </c>
      <c r="X48" s="227">
        <f t="shared" ca="1" si="7"/>
        <v>0</v>
      </c>
      <c r="AB48" s="228" t="str">
        <f t="shared" ca="1" si="8"/>
        <v>GoldUnited Precious Metal Refining, Inc.</v>
      </c>
    </row>
    <row r="49" spans="1:28" s="227" customFormat="1" ht="88.2">
      <c r="A49" s="181" t="s">
        <v>739</v>
      </c>
      <c r="B49" s="182" t="str">
        <f ca="1">IF(LEN(A49)=0,"",INDEX('Smelter Look-up'!$A:$A,MATCH($A49,'Smelter Look-up'!$E:$E,0)))</f>
        <v>Gold</v>
      </c>
      <c r="C49" s="186" t="str">
        <f ca="1">IF(LEN(A49)=0,"",INDEX('Smelter Look-up'!$C:$C,MATCH($A49,'Smelter Look-up'!$E:$E,0)))</f>
        <v>Western Australian Mint (T/a The Perth Mint)</v>
      </c>
      <c r="D49" s="230" t="s">
        <v>2488</v>
      </c>
      <c r="E49" s="182" t="str">
        <f ca="1">IF(ISERROR($V49),"",OFFSET('Smelter Look-up'!$D$4,$V49-4,0)&amp;"")</f>
        <v>AUSTRALIA</v>
      </c>
      <c r="F49" s="182" t="str">
        <f ca="1">IF(ISERROR($V49),"",OFFSET('Smelter Look-up'!$E$4,$V49-4,0))</f>
        <v>CID002030</v>
      </c>
      <c r="G49" s="182" t="str">
        <f ca="1">IF(C49=$X$4,IF(ISERROR($V49),"Enter smelter details","RMI"),IF(ISERROR($V49),"",OFFSET('Smelter Look-up'!$F$4,$V49-4,0)))</f>
        <v>RMI</v>
      </c>
      <c r="H49" s="183">
        <f ca="1">IF(ISERROR($V49),"",OFFSET('Smelter Look-up'!$G$4,$V49-4,0))</f>
        <v>0</v>
      </c>
      <c r="I49" s="184" t="str">
        <f ca="1">IF(ISERROR($V49),"",OFFSET('Smelter Look-up'!$H$4,$V49-4,0))</f>
        <v>Newburn</v>
      </c>
      <c r="J49" s="184" t="str">
        <f ca="1">IF(ISERROR($V49),"",OFFSET('Smelter Look-up'!$I$4,$V49-4,0))</f>
        <v>Western Australia</v>
      </c>
      <c r="K49" s="224"/>
      <c r="L49" s="224"/>
      <c r="M49" s="224"/>
      <c r="N49" s="224"/>
      <c r="O49" s="224"/>
      <c r="P49" s="185"/>
      <c r="Q49" s="225"/>
      <c r="R49" s="182" t="str">
        <f ca="1">IF(ISERROR($V49),"",OFFSET('Smelter Look-up'!$C$4,$V49-4,0)&amp;"")</f>
        <v>Western Australian Mint (T/a The Perth Mint)</v>
      </c>
      <c r="S49" s="181" t="str">
        <f t="shared" ca="1" si="6"/>
        <v>AU</v>
      </c>
      <c r="T49" s="181" t="str">
        <f ca="1">IF(B49="","",IF(ISERROR(MATCH($J49,SorP!$B$1:$B$6279,0)),"",INDIRECT("'SorP'!$A$"&amp;MATCH($S49&amp;$J49,SorP!C:C,0))))</f>
        <v>AU-WA</v>
      </c>
      <c r="U49" s="201"/>
      <c r="V49" s="226">
        <f ca="1">IF(C49="",NA(),IF(OR(C49="Smelter not listed",C49="Smelter not yet identified"),MATCH($B49&amp;$D49,'Smelter Look-up'!$J:$J,0),MATCH($B49&amp;$C49,'Smelter Look-up'!$J:$J,0)))</f>
        <v>297</v>
      </c>
      <c r="X49" s="227">
        <f t="shared" ca="1" si="7"/>
        <v>0</v>
      </c>
      <c r="AB49" s="228" t="str">
        <f t="shared" ca="1" si="8"/>
        <v>GoldWestern Australian Mint (T/a The Perth Mint)</v>
      </c>
    </row>
    <row r="50" spans="1:28" s="227" customFormat="1" ht="63">
      <c r="A50" s="181" t="s">
        <v>2204</v>
      </c>
      <c r="B50" s="182" t="str">
        <f ca="1">IF(LEN(A50)=0,"",INDEX('Smelter Look-up'!$A:$A,MATCH($A50,'Smelter Look-up'!$E:$E,0)))</f>
        <v>Gold</v>
      </c>
      <c r="C50" s="186" t="str">
        <f ca="1">IF(LEN(A50)=0,"",INDEX('Smelter Look-up'!$C:$C,MATCH($A50,'Smelter Look-up'!$E:$E,0)))</f>
        <v>WIELAND Edelmetalle GmbH</v>
      </c>
      <c r="D50" s="230" t="s">
        <v>2202</v>
      </c>
      <c r="E50" s="182" t="str">
        <f ca="1">IF(ISERROR($V50),"",OFFSET('Smelter Look-up'!$D$4,$V50-4,0)&amp;"")</f>
        <v>GERMANY</v>
      </c>
      <c r="F50" s="182" t="str">
        <f ca="1">IF(ISERROR($V50),"",OFFSET('Smelter Look-up'!$E$4,$V50-4,0))</f>
        <v>CID002778</v>
      </c>
      <c r="G50" s="182" t="str">
        <f ca="1">IF(C50=$X$4,IF(ISERROR($V50),"Enter smelter details","RMI"),IF(ISERROR($V50),"",OFFSET('Smelter Look-up'!$F$4,$V50-4,0)))</f>
        <v>RMI</v>
      </c>
      <c r="H50" s="183">
        <f ca="1">IF(ISERROR($V50),"",OFFSET('Smelter Look-up'!$G$4,$V50-4,0))</f>
        <v>0</v>
      </c>
      <c r="I50" s="184" t="str">
        <f ca="1">IF(ISERROR($V50),"",OFFSET('Smelter Look-up'!$H$4,$V50-4,0))</f>
        <v>Pforzheim</v>
      </c>
      <c r="J50" s="184" t="str">
        <f ca="1">IF(ISERROR($V50),"",OFFSET('Smelter Look-up'!$I$4,$V50-4,0))</f>
        <v>Baden-Württemberg</v>
      </c>
      <c r="K50" s="224"/>
      <c r="L50" s="224"/>
      <c r="M50" s="224"/>
      <c r="N50" s="224"/>
      <c r="O50" s="224"/>
      <c r="P50" s="185"/>
      <c r="Q50" s="225"/>
      <c r="R50" s="182" t="str">
        <f ca="1">IF(ISERROR($V50),"",OFFSET('Smelter Look-up'!$C$4,$V50-4,0)&amp;"")</f>
        <v>WIELAND Edelmetalle GmbH</v>
      </c>
      <c r="S50" s="181" t="str">
        <f t="shared" ca="1" si="6"/>
        <v>DE</v>
      </c>
      <c r="T50" s="181" t="str">
        <f ca="1">IF(B50="","",IF(ISERROR(MATCH($J50,SorP!$B$1:$B$6279,0)),"",INDIRECT("'SorP'!$A$"&amp;MATCH($S50&amp;$J50,SorP!C:C,0))))</f>
        <v>DE-BW</v>
      </c>
      <c r="U50" s="201"/>
      <c r="V50" s="226">
        <f ca="1">IF(C50="",NA(),IF(OR(C50="Smelter not listed",C50="Smelter not yet identified"),MATCH($B50&amp;$D50,'Smelter Look-up'!$J:$J,0),MATCH($B50&amp;$C50,'Smelter Look-up'!$J:$J,0)))</f>
        <v>298</v>
      </c>
      <c r="X50" s="227">
        <f t="shared" ca="1" si="7"/>
        <v>0</v>
      </c>
      <c r="AB50" s="228" t="str">
        <f t="shared" ca="1" si="8"/>
        <v>GoldWIELAND Edelmetalle GmbH</v>
      </c>
    </row>
    <row r="51" spans="1:28" s="227" customFormat="1" ht="20.399999999999999">
      <c r="A51" s="181" t="s">
        <v>1405</v>
      </c>
      <c r="B51" s="182" t="str">
        <f ca="1">IF(LEN(A51)=0,"",INDEX('Smelter Look-up'!$A:$A,MATCH($A51,'Smelter Look-up'!$E:$E,0)))</f>
        <v>Tin</v>
      </c>
      <c r="C51" s="186" t="str">
        <f ca="1">IF(LEN(A51)=0,"",INDEX('Smelter Look-up'!$C:$C,MATCH($A51,'Smelter Look-up'!$E:$E,0)))</f>
        <v>Dowa</v>
      </c>
      <c r="D51" s="230" t="s">
        <v>902</v>
      </c>
      <c r="E51" s="182" t="str">
        <f ca="1">IF(ISERROR($V51),"",OFFSET('Smelter Look-up'!$D$4,$V51-4,0)&amp;"")</f>
        <v>JAPAN</v>
      </c>
      <c r="F51" s="182" t="str">
        <f ca="1">IF(ISERROR($V51),"",OFFSET('Smelter Look-up'!$E$4,$V51-4,0))</f>
        <v>CID000402</v>
      </c>
      <c r="G51" s="182" t="str">
        <f ca="1">IF(C51=$X$4,IF(ISERROR($V51),"Enter smelter details","RMI"),IF(ISERROR($V51),"",OFFSET('Smelter Look-up'!$F$4,$V51-4,0)))</f>
        <v>RMI</v>
      </c>
      <c r="H51" s="183">
        <f ca="1">IF(ISERROR($V51),"",OFFSET('Smelter Look-up'!$G$4,$V51-4,0))</f>
        <v>0</v>
      </c>
      <c r="I51" s="184" t="str">
        <f ca="1">IF(ISERROR($V51),"",OFFSET('Smelter Look-up'!$H$4,$V51-4,0))</f>
        <v>Kosaka</v>
      </c>
      <c r="J51" s="184" t="str">
        <f ca="1">IF(ISERROR($V51),"",OFFSET('Smelter Look-up'!$I$4,$V51-4,0))</f>
        <v>Akita</v>
      </c>
      <c r="K51" s="224"/>
      <c r="L51" s="224"/>
      <c r="M51" s="224"/>
      <c r="N51" s="224"/>
      <c r="O51" s="224"/>
      <c r="P51" s="185"/>
      <c r="Q51" s="225"/>
      <c r="R51" s="182" t="str">
        <f ca="1">IF(ISERROR($V51),"",OFFSET('Smelter Look-up'!$C$4,$V51-4,0)&amp;"")</f>
        <v>Dowa</v>
      </c>
      <c r="S51" s="181" t="str">
        <f t="shared" ca="1" si="6"/>
        <v>JP</v>
      </c>
      <c r="T51" s="181" t="str">
        <f ca="1">IF(B51="","",IF(ISERROR(MATCH($J51,SorP!$B$1:$B$6279,0)),"",INDIRECT("'SorP'!$A$"&amp;MATCH($S51&amp;$J51,SorP!C:C,0))))</f>
        <v>JP-05</v>
      </c>
      <c r="U51" s="201"/>
      <c r="V51" s="226">
        <f ca="1">IF(C51="",NA(),IF(OR(C51="Smelter not listed",C51="Smelter not yet identified"),MATCH($B51&amp;$D51,'Smelter Look-up'!$J:$J,0),MATCH($B51&amp;$C51,'Smelter Look-up'!$J:$J,0)))</f>
        <v>417</v>
      </c>
      <c r="X51" s="227">
        <f t="shared" ca="1" si="7"/>
        <v>0</v>
      </c>
      <c r="AB51" s="228" t="str">
        <f t="shared" ca="1" si="8"/>
        <v>TinDowa</v>
      </c>
    </row>
    <row r="52" spans="1:28" s="227" customFormat="1" ht="37.799999999999997">
      <c r="A52" s="181" t="s">
        <v>764</v>
      </c>
      <c r="B52" s="182" t="str">
        <f ca="1">IF(LEN(A52)=0,"",INDEX('Smelter Look-up'!$A:$A,MATCH($A52,'Smelter Look-up'!$E:$E,0)))</f>
        <v>Tin</v>
      </c>
      <c r="C52" s="186" t="str">
        <f ca="1">IF(LEN(A52)=0,"",INDEX('Smelter Look-up'!$C:$C,MATCH($A52,'Smelter Look-up'!$E:$E,0)))</f>
        <v>EM Vinto</v>
      </c>
      <c r="D52" s="230" t="s">
        <v>838</v>
      </c>
      <c r="E52" s="182" t="str">
        <f ca="1">IF(ISERROR($V52),"",OFFSET('Smelter Look-up'!$D$4,$V52-4,0)&amp;"")</f>
        <v>BOLIVIA (PLURINATIONAL STATE OF)</v>
      </c>
      <c r="F52" s="182" t="str">
        <f ca="1">IF(ISERROR($V52),"",OFFSET('Smelter Look-up'!$E$4,$V52-4,0))</f>
        <v>CID000438</v>
      </c>
      <c r="G52" s="182" t="str">
        <f ca="1">IF(C52=$X$4,IF(ISERROR($V52),"Enter smelter details","RMI"),IF(ISERROR($V52),"",OFFSET('Smelter Look-up'!$F$4,$V52-4,0)))</f>
        <v>RMI</v>
      </c>
      <c r="H52" s="183">
        <f ca="1">IF(ISERROR($V52),"",OFFSET('Smelter Look-up'!$G$4,$V52-4,0))</f>
        <v>0</v>
      </c>
      <c r="I52" s="184" t="str">
        <f ca="1">IF(ISERROR($V52),"",OFFSET('Smelter Look-up'!$H$4,$V52-4,0))</f>
        <v>Oruro</v>
      </c>
      <c r="J52" s="184" t="str">
        <f ca="1">IF(ISERROR($V52),"",OFFSET('Smelter Look-up'!$I$4,$V52-4,0))</f>
        <v>Oruro</v>
      </c>
      <c r="K52" s="224"/>
      <c r="L52" s="224"/>
      <c r="M52" s="224"/>
      <c r="N52" s="224"/>
      <c r="O52" s="224"/>
      <c r="P52" s="185"/>
      <c r="Q52" s="225"/>
      <c r="R52" s="182" t="str">
        <f ca="1">IF(ISERROR($V52),"",OFFSET('Smelter Look-up'!$C$4,$V52-4,0)&amp;"")</f>
        <v>EM Vinto</v>
      </c>
      <c r="S52" s="181" t="str">
        <f t="shared" ca="1" si="6"/>
        <v>BO</v>
      </c>
      <c r="T52" s="181" t="str">
        <f ca="1">IF(B52="","",IF(ISERROR(MATCH($J52,SorP!$B$1:$B$6279,0)),"",INDIRECT("'SorP'!$A$"&amp;MATCH($S52&amp;$J52,SorP!C:C,0))))</f>
        <v>BO-O</v>
      </c>
      <c r="U52" s="201"/>
      <c r="V52" s="226">
        <f ca="1">IF(C52="",NA(),IF(OR(C52="Smelter not listed",C52="Smelter not yet identified"),MATCH($B52&amp;$D52,'Smelter Look-up'!$J:$J,0),MATCH($B52&amp;$C52,'Smelter Look-up'!$J:$J,0)))</f>
        <v>421</v>
      </c>
      <c r="X52" s="227">
        <f t="shared" ca="1" si="7"/>
        <v>0</v>
      </c>
      <c r="AB52" s="228" t="str">
        <f t="shared" ca="1" si="8"/>
        <v>TinEM Vinto</v>
      </c>
    </row>
    <row r="53" spans="1:28" s="227" customFormat="1" ht="25.2">
      <c r="A53" s="181" t="s">
        <v>766</v>
      </c>
      <c r="B53" s="182" t="str">
        <f ca="1">IF(LEN(A53)=0,"",INDEX('Smelter Look-up'!$A:$A,MATCH($A53,'Smelter Look-up'!$E:$E,0)))</f>
        <v>Tin</v>
      </c>
      <c r="C53" s="186" t="str">
        <f ca="1">IF(LEN(A53)=0,"",INDEX('Smelter Look-up'!$C:$C,MATCH($A53,'Smelter Look-up'!$E:$E,0)))</f>
        <v>Fenix Metals</v>
      </c>
      <c r="D53" s="230" t="s">
        <v>811</v>
      </c>
      <c r="E53" s="182" t="str">
        <f ca="1">IF(ISERROR($V53),"",OFFSET('Smelter Look-up'!$D$4,$V53-4,0)&amp;"")</f>
        <v>POLAND</v>
      </c>
      <c r="F53" s="182" t="str">
        <f ca="1">IF(ISERROR($V53),"",OFFSET('Smelter Look-up'!$E$4,$V53-4,0))</f>
        <v>CID000468</v>
      </c>
      <c r="G53" s="182" t="str">
        <f ca="1">IF(C53=$X$4,IF(ISERROR($V53),"Enter smelter details","RMI"),IF(ISERROR($V53),"",OFFSET('Smelter Look-up'!$F$4,$V53-4,0)))</f>
        <v>RMI</v>
      </c>
      <c r="H53" s="183">
        <f ca="1">IF(ISERROR($V53),"",OFFSET('Smelter Look-up'!$G$4,$V53-4,0))</f>
        <v>0</v>
      </c>
      <c r="I53" s="184" t="str">
        <f ca="1">IF(ISERROR($V53),"",OFFSET('Smelter Look-up'!$H$4,$V53-4,0))</f>
        <v>Chmielów</v>
      </c>
      <c r="J53" s="184" t="str">
        <f ca="1">IF(ISERROR($V53),"",OFFSET('Smelter Look-up'!$I$4,$V53-4,0))</f>
        <v>Podkarpackie</v>
      </c>
      <c r="K53" s="224"/>
      <c r="L53" s="224"/>
      <c r="M53" s="224"/>
      <c r="N53" s="224"/>
      <c r="O53" s="224"/>
      <c r="P53" s="185"/>
      <c r="Q53" s="225"/>
      <c r="R53" s="182" t="str">
        <f ca="1">IF(ISERROR($V53),"",OFFSET('Smelter Look-up'!$C$4,$V53-4,0)&amp;"")</f>
        <v>Fenix Metals</v>
      </c>
      <c r="S53" s="181" t="str">
        <f t="shared" ca="1" si="6"/>
        <v>PL</v>
      </c>
      <c r="T53" s="181" t="str">
        <f ca="1">IF(B53="","",IF(ISERROR(MATCH($J53,SorP!$B$1:$B$6279,0)),"",INDIRECT("'SorP'!$A$"&amp;MATCH($S53&amp;$J53,SorP!C:C,0))))</f>
        <v>PL-18</v>
      </c>
      <c r="U53" s="201"/>
      <c r="V53" s="226">
        <f ca="1">IF(C53="",NA(),IF(OR(C53="Smelter not listed",C53="Smelter not yet identified"),MATCH($B53&amp;$D53,'Smelter Look-up'!$J:$J,0),MATCH($B53&amp;$C53,'Smelter Look-up'!$J:$J,0)))</f>
        <v>430</v>
      </c>
      <c r="X53" s="227">
        <f t="shared" ca="1" si="7"/>
        <v>0</v>
      </c>
      <c r="AB53" s="228" t="str">
        <f t="shared" ca="1" si="8"/>
        <v>TinFenix Metals</v>
      </c>
    </row>
    <row r="54" spans="1:28" s="227" customFormat="1" ht="88.2">
      <c r="A54" s="181" t="s">
        <v>2529</v>
      </c>
      <c r="B54" s="182" t="str">
        <f ca="1">IF(LEN(A54)=0,"",INDEX('Smelter Look-up'!$A:$A,MATCH($A54,'Smelter Look-up'!$E:$E,0)))</f>
        <v>Tin</v>
      </c>
      <c r="C54" s="186" t="str">
        <f ca="1">IF(LEN(A54)=0,"",INDEX('Smelter Look-up'!$C:$C,MATCH($A54,'Smelter Look-up'!$E:$E,0)))</f>
        <v>Guangdong Hanhe Non-Ferrous Metal Co., Ltd.</v>
      </c>
      <c r="D54" s="230" t="s">
        <v>2528</v>
      </c>
      <c r="E54" s="182" t="str">
        <f ca="1">IF(ISERROR($V54),"",OFFSET('Smelter Look-up'!$D$4,$V54-4,0)&amp;"")</f>
        <v>CHINA</v>
      </c>
      <c r="F54" s="182" t="str">
        <f ca="1">IF(ISERROR($V54),"",OFFSET('Smelter Look-up'!$E$4,$V54-4,0))</f>
        <v>CID003116</v>
      </c>
      <c r="G54" s="182" t="str">
        <f ca="1">IF(C54=$X$4,IF(ISERROR($V54),"Enter smelter details","RMI"),IF(ISERROR($V54),"",OFFSET('Smelter Look-up'!$F$4,$V54-4,0)))</f>
        <v>RMI</v>
      </c>
      <c r="H54" s="183">
        <f ca="1">IF(ISERROR($V54),"",OFFSET('Smelter Look-up'!$G$4,$V54-4,0))</f>
        <v>0</v>
      </c>
      <c r="I54" s="184" t="str">
        <f ca="1">IF(ISERROR($V54),"",OFFSET('Smelter Look-up'!$H$4,$V54-4,0))</f>
        <v>Chaozhou</v>
      </c>
      <c r="J54" s="184" t="str">
        <f ca="1">IF(ISERROR($V54),"",OFFSET('Smelter Look-up'!$I$4,$V54-4,0))</f>
        <v>Guangdong Sheng</v>
      </c>
      <c r="K54" s="224"/>
      <c r="L54" s="224"/>
      <c r="M54" s="224"/>
      <c r="N54" s="224"/>
      <c r="O54" s="224"/>
      <c r="P54" s="185"/>
      <c r="Q54" s="225"/>
      <c r="R54" s="182" t="str">
        <f ca="1">IF(ISERROR($V54),"",OFFSET('Smelter Look-up'!$C$4,$V54-4,0)&amp;"")</f>
        <v>Guangdong Hanhe Non-Ferrous Metal Co., Ltd.</v>
      </c>
      <c r="S54" s="181" t="str">
        <f t="shared" ca="1" si="6"/>
        <v>CN</v>
      </c>
      <c r="T54" s="181" t="str">
        <f ca="1">IF(B54="","",IF(ISERROR(MATCH($J54,SorP!$B$1:$B$6279,0)),"",INDIRECT("'SorP'!$A$"&amp;MATCH($S54&amp;$J54,SorP!C:C,0))))</f>
        <v>CN-GD</v>
      </c>
      <c r="U54" s="201"/>
      <c r="V54" s="226">
        <f ca="1">IF(C54="",NA(),IF(OR(C54="Smelter not listed",C54="Smelter not yet identified"),MATCH($B54&amp;$D54,'Smelter Look-up'!$J:$J,0),MATCH($B54&amp;$C54,'Smelter Look-up'!$J:$J,0)))</f>
        <v>442</v>
      </c>
      <c r="X54" s="227">
        <f t="shared" ca="1" si="7"/>
        <v>0</v>
      </c>
      <c r="AB54" s="228" t="str">
        <f t="shared" ca="1" si="8"/>
        <v>TinGuangdong Hanhe Non-Ferrous Metal Co., Ltd.</v>
      </c>
    </row>
    <row r="55" spans="1:28" s="227" customFormat="1" ht="88.2">
      <c r="A55" s="181" t="s">
        <v>771</v>
      </c>
      <c r="B55" s="182" t="str">
        <f ca="1">IF(LEN(A55)=0,"",INDEX('Smelter Look-up'!$A:$A,MATCH($A55,'Smelter Look-up'!$E:$E,0)))</f>
        <v>Tin</v>
      </c>
      <c r="C55" s="186" t="str">
        <f ca="1">IF(LEN(A55)=0,"",INDEX('Smelter Look-up'!$C:$C,MATCH($A55,'Smelter Look-up'!$E:$E,0)))</f>
        <v>Malaysia Smelting Corporation (MSC)</v>
      </c>
      <c r="D55" s="230" t="s">
        <v>817</v>
      </c>
      <c r="E55" s="182" t="str">
        <f ca="1">IF(ISERROR($V55),"",OFFSET('Smelter Look-up'!$D$4,$V55-4,0)&amp;"")</f>
        <v>MALAYSIA</v>
      </c>
      <c r="F55" s="182" t="str">
        <f ca="1">IF(ISERROR($V55),"",OFFSET('Smelter Look-up'!$E$4,$V55-4,0))</f>
        <v>CID001105</v>
      </c>
      <c r="G55" s="182" t="str">
        <f ca="1">IF(C55=$X$4,IF(ISERROR($V55),"Enter smelter details","RMI"),IF(ISERROR($V55),"",OFFSET('Smelter Look-up'!$F$4,$V55-4,0)))</f>
        <v>RMI</v>
      </c>
      <c r="H55" s="183">
        <f ca="1">IF(ISERROR($V55),"",OFFSET('Smelter Look-up'!$G$4,$V55-4,0))</f>
        <v>0</v>
      </c>
      <c r="I55" s="184" t="str">
        <f ca="1">IF(ISERROR($V55),"",OFFSET('Smelter Look-up'!$H$4,$V55-4,0))</f>
        <v>Butterworth</v>
      </c>
      <c r="J55" s="184" t="str">
        <f ca="1">IF(ISERROR($V55),"",OFFSET('Smelter Look-up'!$I$4,$V55-4,0))</f>
        <v>Pulau Pinang</v>
      </c>
      <c r="K55" s="224"/>
      <c r="L55" s="224"/>
      <c r="M55" s="224"/>
      <c r="N55" s="224"/>
      <c r="O55" s="224"/>
      <c r="P55" s="185"/>
      <c r="Q55" s="225"/>
      <c r="R55" s="182" t="str">
        <f ca="1">IF(ISERROR($V55),"",OFFSET('Smelter Look-up'!$C$4,$V55-4,0)&amp;"")</f>
        <v>Malaysia Smelting Corporation (MSC)</v>
      </c>
      <c r="S55" s="181" t="str">
        <f t="shared" ca="1" si="6"/>
        <v>MY</v>
      </c>
      <c r="T55" s="181" t="str">
        <f ca="1">IF(B55="","",IF(ISERROR(MATCH($J55,SorP!$B$1:$B$6279,0)),"",INDIRECT("'SorP'!$A$"&amp;MATCH($S55&amp;$J55,SorP!C:C,0))))</f>
        <v>MY-07</v>
      </c>
      <c r="U55" s="201"/>
      <c r="V55" s="226">
        <f ca="1">IF(C55="",NA(),IF(OR(C55="Smelter not listed",C55="Smelter not yet identified"),MATCH($B55&amp;$D55,'Smelter Look-up'!$J:$J,0),MATCH($B55&amp;$C55,'Smelter Look-up'!$J:$J,0)))</f>
        <v>458</v>
      </c>
      <c r="X55" s="227">
        <f t="shared" ca="1" si="7"/>
        <v>0</v>
      </c>
      <c r="AB55" s="228" t="str">
        <f t="shared" ca="1" si="8"/>
        <v>TinMalaysia Smelting Corporation (MSC)</v>
      </c>
    </row>
    <row r="56" spans="1:28" s="227" customFormat="1" ht="37.799999999999997">
      <c r="A56" s="181" t="s">
        <v>1815</v>
      </c>
      <c r="B56" s="182" t="str">
        <f ca="1">IF(LEN(A56)=0,"",INDEX('Smelter Look-up'!$A:$A,MATCH($A56,'Smelter Look-up'!$E:$E,0)))</f>
        <v>Tin</v>
      </c>
      <c r="C56" s="186" t="str">
        <f ca="1">IF(LEN(A56)=0,"",INDEX('Smelter Look-up'!$C:$C,MATCH($A56,'Smelter Look-up'!$E:$E,0)))</f>
        <v>Aurubis Beerse</v>
      </c>
      <c r="D56" s="230" t="s">
        <v>12932</v>
      </c>
      <c r="E56" s="182" t="str">
        <f ca="1">IF(ISERROR($V56),"",OFFSET('Smelter Look-up'!$D$4,$V56-4,0)&amp;"")</f>
        <v>BELGIUM</v>
      </c>
      <c r="F56" s="182" t="str">
        <f ca="1">IF(ISERROR($V56),"",OFFSET('Smelter Look-up'!$E$4,$V56-4,0))</f>
        <v>CID002773</v>
      </c>
      <c r="G56" s="182" t="str">
        <f ca="1">IF(C56=$X$4,IF(ISERROR($V56),"Enter smelter details","RMI"),IF(ISERROR($V56),"",OFFSET('Smelter Look-up'!$F$4,$V56-4,0)))</f>
        <v>RMI</v>
      </c>
      <c r="H56" s="183">
        <f ca="1">IF(ISERROR($V56),"",OFFSET('Smelter Look-up'!$G$4,$V56-4,0))</f>
        <v>0</v>
      </c>
      <c r="I56" s="184" t="str">
        <f ca="1">IF(ISERROR($V56),"",OFFSET('Smelter Look-up'!$H$4,$V56-4,0))</f>
        <v>Beerse</v>
      </c>
      <c r="J56" s="184" t="str">
        <f ca="1">IF(ISERROR($V56),"",OFFSET('Smelter Look-up'!$I$4,$V56-4,0))</f>
        <v>Antwerpen</v>
      </c>
      <c r="K56" s="224"/>
      <c r="L56" s="224"/>
      <c r="M56" s="224"/>
      <c r="N56" s="224"/>
      <c r="O56" s="224"/>
      <c r="P56" s="185"/>
      <c r="Q56" s="225"/>
      <c r="R56" s="182" t="str">
        <f ca="1">IF(ISERROR($V56),"",OFFSET('Smelter Look-up'!$C$4,$V56-4,0)&amp;"")</f>
        <v>Aurubis Beerse</v>
      </c>
      <c r="S56" s="181" t="str">
        <f t="shared" ca="1" si="6"/>
        <v>BE</v>
      </c>
      <c r="T56" s="181" t="str">
        <f ca="1">IF(B56="","",IF(ISERROR(MATCH($J56,SorP!$B$1:$B$6279,0)),"",INDIRECT("'SorP'!$A$"&amp;MATCH($S56&amp;$J56,SorP!C:C,0))))</f>
        <v>BE-VAN</v>
      </c>
      <c r="U56" s="201"/>
      <c r="V56" s="226">
        <f ca="1">IF(C56="",NA(),IF(OR(C56="Smelter not listed",C56="Smelter not yet identified"),MATCH($B56&amp;$D56,'Smelter Look-up'!$J:$J,0),MATCH($B56&amp;$C56,'Smelter Look-up'!$J:$J,0)))</f>
        <v>394</v>
      </c>
      <c r="X56" s="227">
        <f t="shared" ca="1" si="7"/>
        <v>0</v>
      </c>
      <c r="AB56" s="228" t="str">
        <f t="shared" ca="1" si="8"/>
        <v>TinAurubis Beerse</v>
      </c>
    </row>
    <row r="57" spans="1:28" s="227" customFormat="1" ht="50.4">
      <c r="A57" s="181" t="s">
        <v>772</v>
      </c>
      <c r="B57" s="182" t="str">
        <f ca="1">IF(LEN(A57)=0,"",INDEX('Smelter Look-up'!$A:$A,MATCH($A57,'Smelter Look-up'!$E:$E,0)))</f>
        <v>Tin</v>
      </c>
      <c r="C57" s="186" t="str">
        <f ca="1">IF(LEN(A57)=0,"",INDEX('Smelter Look-up'!$C:$C,MATCH($A57,'Smelter Look-up'!$E:$E,0)))</f>
        <v>Mineracao Taboca S.A.</v>
      </c>
      <c r="D57" s="230" t="s">
        <v>12430</v>
      </c>
      <c r="E57" s="182" t="str">
        <f ca="1">IF(ISERROR($V57),"",OFFSET('Smelter Look-up'!$D$4,$V57-4,0)&amp;"")</f>
        <v>BRAZIL</v>
      </c>
      <c r="F57" s="182" t="str">
        <f ca="1">IF(ISERROR($V57),"",OFFSET('Smelter Look-up'!$E$4,$V57-4,0))</f>
        <v>CID001173</v>
      </c>
      <c r="G57" s="182" t="str">
        <f ca="1">IF(C57=$X$4,IF(ISERROR($V57),"Enter smelter details","RMI"),IF(ISERROR($V57),"",OFFSET('Smelter Look-up'!$F$4,$V57-4,0)))</f>
        <v>RMI</v>
      </c>
      <c r="H57" s="183">
        <f ca="1">IF(ISERROR($V57),"",OFFSET('Smelter Look-up'!$G$4,$V57-4,0))</f>
        <v>0</v>
      </c>
      <c r="I57" s="184" t="str">
        <f ca="1">IF(ISERROR($V57),"",OFFSET('Smelter Look-up'!$H$4,$V57-4,0))</f>
        <v>Bairro Guarapiranga</v>
      </c>
      <c r="J57" s="184" t="str">
        <f ca="1">IF(ISERROR($V57),"",OFFSET('Smelter Look-up'!$I$4,$V57-4,0))</f>
        <v>São Paulo</v>
      </c>
      <c r="K57" s="224"/>
      <c r="L57" s="224"/>
      <c r="M57" s="224"/>
      <c r="N57" s="224"/>
      <c r="O57" s="224"/>
      <c r="P57" s="185"/>
      <c r="Q57" s="225"/>
      <c r="R57" s="182" t="str">
        <f ca="1">IF(ISERROR($V57),"",OFFSET('Smelter Look-up'!$C$4,$V57-4,0)&amp;"")</f>
        <v>Mineracao Taboca S.A.</v>
      </c>
      <c r="S57" s="181" t="str">
        <f t="shared" ca="1" si="6"/>
        <v>BR</v>
      </c>
      <c r="T57" s="181" t="str">
        <f ca="1">IF(B57="","",IF(ISERROR(MATCH($J57,SorP!$B$1:$B$6279,0)),"",INDIRECT("'SorP'!$A$"&amp;MATCH($S57&amp;$J57,SorP!C:C,0))))</f>
        <v>BR-SP</v>
      </c>
      <c r="U57" s="201"/>
      <c r="V57" s="226">
        <f ca="1">IF(C57="",NA(),IF(OR(C57="Smelter not listed",C57="Smelter not yet identified"),MATCH($B57&amp;$D57,'Smelter Look-up'!$J:$J,0),MATCH($B57&amp;$C57,'Smelter Look-up'!$J:$J,0)))</f>
        <v>465</v>
      </c>
      <c r="X57" s="227">
        <f t="shared" ca="1" si="7"/>
        <v>0</v>
      </c>
      <c r="AB57" s="228" t="str">
        <f t="shared" ca="1" si="8"/>
        <v>TinMineracao Taboca S.A.</v>
      </c>
    </row>
    <row r="58" spans="1:28" s="227" customFormat="1" ht="25.2">
      <c r="A58" s="181" t="s">
        <v>773</v>
      </c>
      <c r="B58" s="182" t="str">
        <f ca="1">IF(LEN(A58)=0,"",INDEX('Smelter Look-up'!$A:$A,MATCH($A58,'Smelter Look-up'!$E:$E,0)))</f>
        <v>Tin</v>
      </c>
      <c r="C58" s="186" t="str">
        <f ca="1">IF(LEN(A58)=0,"",INDEX('Smelter Look-up'!$C:$C,MATCH($A58,'Smelter Look-up'!$E:$E,0)))</f>
        <v>Minsur</v>
      </c>
      <c r="D58" s="230" t="s">
        <v>1030</v>
      </c>
      <c r="E58" s="182" t="str">
        <f ca="1">IF(ISERROR($V58),"",OFFSET('Smelter Look-up'!$D$4,$V58-4,0)&amp;"")</f>
        <v>PERU</v>
      </c>
      <c r="F58" s="182" t="str">
        <f ca="1">IF(ISERROR($V58),"",OFFSET('Smelter Look-up'!$E$4,$V58-4,0))</f>
        <v>CID001182</v>
      </c>
      <c r="G58" s="182" t="str">
        <f ca="1">IF(C58=$X$4,IF(ISERROR($V58),"Enter smelter details","RMI"),IF(ISERROR($V58),"",OFFSET('Smelter Look-up'!$F$4,$V58-4,0)))</f>
        <v>RMI</v>
      </c>
      <c r="H58" s="183">
        <f ca="1">IF(ISERROR($V58),"",OFFSET('Smelter Look-up'!$G$4,$V58-4,0))</f>
        <v>0</v>
      </c>
      <c r="I58" s="184" t="str">
        <f ca="1">IF(ISERROR($V58),"",OFFSET('Smelter Look-up'!$H$4,$V58-4,0))</f>
        <v>Paracas</v>
      </c>
      <c r="J58" s="184" t="str">
        <f ca="1">IF(ISERROR($V58),"",OFFSET('Smelter Look-up'!$I$4,$V58-4,0))</f>
        <v>Ika</v>
      </c>
      <c r="K58" s="224"/>
      <c r="L58" s="224"/>
      <c r="M58" s="224"/>
      <c r="N58" s="224"/>
      <c r="O58" s="224"/>
      <c r="P58" s="185"/>
      <c r="Q58" s="225"/>
      <c r="R58" s="182" t="str">
        <f ca="1">IF(ISERROR($V58),"",OFFSET('Smelter Look-up'!$C$4,$V58-4,0)&amp;"")</f>
        <v>Minsur</v>
      </c>
      <c r="S58" s="181" t="str">
        <f t="shared" ca="1" si="6"/>
        <v>PE</v>
      </c>
      <c r="T58" s="181" t="str">
        <f ca="1">IF(B58="","",IF(ISERROR(MATCH($J58,SorP!$B$1:$B$6279,0)),"",INDIRECT("'SorP'!$A$"&amp;MATCH($S58&amp;$J58,SorP!C:C,0))))</f>
        <v>PE-ICA</v>
      </c>
      <c r="U58" s="201"/>
      <c r="V58" s="226">
        <f ca="1">IF(C58="",NA(),IF(OR(C58="Smelter not listed",C58="Smelter not yet identified"),MATCH($B58&amp;$D58,'Smelter Look-up'!$J:$J,0),MATCH($B58&amp;$C58,'Smelter Look-up'!$J:$J,0)))</f>
        <v>470</v>
      </c>
      <c r="X58" s="227">
        <f t="shared" ca="1" si="7"/>
        <v>0</v>
      </c>
      <c r="AB58" s="228" t="str">
        <f t="shared" ca="1" si="8"/>
        <v>TinMinsur</v>
      </c>
    </row>
    <row r="59" spans="1:28" s="227" customFormat="1" ht="63">
      <c r="A59" s="181" t="s">
        <v>774</v>
      </c>
      <c r="B59" s="182" t="str">
        <f ca="1">IF(LEN(A59)=0,"",INDEX('Smelter Look-up'!$A:$A,MATCH($A59,'Smelter Look-up'!$E:$E,0)))</f>
        <v>Tin</v>
      </c>
      <c r="C59" s="186" t="str">
        <f ca="1">IF(LEN(A59)=0,"",INDEX('Smelter Look-up'!$C:$C,MATCH($A59,'Smelter Look-up'!$E:$E,0)))</f>
        <v>Mitsubishi Materials Corporation</v>
      </c>
      <c r="D59" s="230" t="s">
        <v>1159</v>
      </c>
      <c r="E59" s="182" t="str">
        <f ca="1">IF(ISERROR($V59),"",OFFSET('Smelter Look-up'!$D$4,$V59-4,0)&amp;"")</f>
        <v>JAPAN</v>
      </c>
      <c r="F59" s="182" t="str">
        <f ca="1">IF(ISERROR($V59),"",OFFSET('Smelter Look-up'!$E$4,$V59-4,0))</f>
        <v>CID001191</v>
      </c>
      <c r="G59" s="182" t="str">
        <f ca="1">IF(C59=$X$4,IF(ISERROR($V59),"Enter smelter details","RMI"),IF(ISERROR($V59),"",OFFSET('Smelter Look-up'!$F$4,$V59-4,0)))</f>
        <v>RMI</v>
      </c>
      <c r="H59" s="183">
        <f ca="1">IF(ISERROR($V59),"",OFFSET('Smelter Look-up'!$G$4,$V59-4,0))</f>
        <v>0</v>
      </c>
      <c r="I59" s="184" t="str">
        <f ca="1">IF(ISERROR($V59),"",OFFSET('Smelter Look-up'!$H$4,$V59-4,0))</f>
        <v>Tokyo</v>
      </c>
      <c r="J59" s="184" t="str">
        <f ca="1">IF(ISERROR($V59),"",OFFSET('Smelter Look-up'!$I$4,$V59-4,0))</f>
        <v>Tokyo</v>
      </c>
      <c r="K59" s="224"/>
      <c r="L59" s="224"/>
      <c r="M59" s="224"/>
      <c r="N59" s="224"/>
      <c r="O59" s="224"/>
      <c r="P59" s="185"/>
      <c r="Q59" s="225"/>
      <c r="R59" s="182" t="str">
        <f ca="1">IF(ISERROR($V59),"",OFFSET('Smelter Look-up'!$C$4,$V59-4,0)&amp;"")</f>
        <v>Mitsubishi Materials Corporation</v>
      </c>
      <c r="S59" s="181" t="str">
        <f t="shared" ca="1" si="6"/>
        <v>JP</v>
      </c>
      <c r="T59" s="181" t="str">
        <f ca="1">IF(B59="","",IF(ISERROR(MATCH($J59,SorP!$B$1:$B$6279,0)),"",INDIRECT("'SorP'!$A$"&amp;MATCH($S59&amp;$J59,SorP!C:C,0))))</f>
        <v>JP-13</v>
      </c>
      <c r="U59" s="201"/>
      <c r="V59" s="226">
        <f ca="1">IF(C59="",NA(),IF(OR(C59="Smelter not listed",C59="Smelter not yet identified"),MATCH($B59&amp;$D59,'Smelter Look-up'!$J:$J,0),MATCH($B59&amp;$C59,'Smelter Look-up'!$J:$J,0)))</f>
        <v>471</v>
      </c>
      <c r="X59" s="227">
        <f t="shared" ca="1" si="7"/>
        <v>0</v>
      </c>
      <c r="AB59" s="228" t="str">
        <f t="shared" ca="1" si="8"/>
        <v>TinMitsubishi Materials Corporation</v>
      </c>
    </row>
    <row r="60" spans="1:28" s="227" customFormat="1" ht="50.4">
      <c r="A60" s="181" t="s">
        <v>777</v>
      </c>
      <c r="B60" s="182" t="str">
        <f ca="1">IF(LEN(A60)=0,"",INDEX('Smelter Look-up'!$A:$A,MATCH($A60,'Smelter Look-up'!$E:$E,0)))</f>
        <v>Tin</v>
      </c>
      <c r="C60" s="186" t="str">
        <f ca="1">IF(LEN(A60)=0,"",INDEX('Smelter Look-up'!$C:$C,MATCH($A60,'Smelter Look-up'!$E:$E,0)))</f>
        <v>Operaciones Metalurgicas S.A.</v>
      </c>
      <c r="D60" s="230" t="s">
        <v>13803</v>
      </c>
      <c r="E60" s="182" t="str">
        <f ca="1">IF(ISERROR($V60),"",OFFSET('Smelter Look-up'!$D$4,$V60-4,0)&amp;"")</f>
        <v>BOLIVIA (PLURINATIONAL STATE OF)</v>
      </c>
      <c r="F60" s="182" t="str">
        <f ca="1">IF(ISERROR($V60),"",OFFSET('Smelter Look-up'!$E$4,$V60-4,0))</f>
        <v>CID001337</v>
      </c>
      <c r="G60" s="182" t="str">
        <f ca="1">IF(C60=$X$4,IF(ISERROR($V60),"Enter smelter details","RMI"),IF(ISERROR($V60),"",OFFSET('Smelter Look-up'!$F$4,$V60-4,0)))</f>
        <v>RMI</v>
      </c>
      <c r="H60" s="183">
        <f ca="1">IF(ISERROR($V60),"",OFFSET('Smelter Look-up'!$G$4,$V60-4,0))</f>
        <v>0</v>
      </c>
      <c r="I60" s="184" t="str">
        <f ca="1">IF(ISERROR($V60),"",OFFSET('Smelter Look-up'!$H$4,$V60-4,0))</f>
        <v>Oruro</v>
      </c>
      <c r="J60" s="184" t="str">
        <f ca="1">IF(ISERROR($V60),"",OFFSET('Smelter Look-up'!$I$4,$V60-4,0))</f>
        <v>Oruro</v>
      </c>
      <c r="K60" s="224"/>
      <c r="L60" s="224"/>
      <c r="M60" s="224"/>
      <c r="N60" s="224"/>
      <c r="O60" s="224"/>
      <c r="P60" s="185"/>
      <c r="Q60" s="225"/>
      <c r="R60" s="182" t="str">
        <f ca="1">IF(ISERROR($V60),"",OFFSET('Smelter Look-up'!$C$4,$V60-4,0)&amp;"")</f>
        <v>Operaciones Metalurgicas S.A.</v>
      </c>
      <c r="S60" s="181" t="str">
        <f t="shared" ca="1" si="6"/>
        <v>BO</v>
      </c>
      <c r="T60" s="181" t="str">
        <f ca="1">IF(B60="","",IF(ISERROR(MATCH($J60,SorP!$B$1:$B$6279,0)),"",INDIRECT("'SorP'!$A$"&amp;MATCH($S60&amp;$J60,SorP!C:C,0))))</f>
        <v>BO-O</v>
      </c>
      <c r="U60" s="201"/>
      <c r="V60" s="226">
        <f ca="1">IF(C60="",NA(),IF(OR(C60="Smelter not listed",C60="Smelter not yet identified"),MATCH($B60&amp;$D60,'Smelter Look-up'!$J:$J,0),MATCH($B60&amp;$C60,'Smelter Look-up'!$J:$J,0)))</f>
        <v>482</v>
      </c>
      <c r="X60" s="227">
        <f t="shared" ca="1" si="7"/>
        <v>0</v>
      </c>
      <c r="AB60" s="228" t="str">
        <f t="shared" ca="1" si="8"/>
        <v>TinOperaciones Metalurgicas S.A.</v>
      </c>
    </row>
    <row r="61" spans="1:28" s="227" customFormat="1" ht="63">
      <c r="A61" s="181" t="s">
        <v>778</v>
      </c>
      <c r="B61" s="182" t="str">
        <f ca="1">IF(LEN(A61)=0,"",INDEX('Smelter Look-up'!$A:$A,MATCH($A61,'Smelter Look-up'!$E:$E,0)))</f>
        <v>Tin</v>
      </c>
      <c r="C61" s="186" t="str">
        <f ca="1">IF(LEN(A61)=0,"",INDEX('Smelter Look-up'!$C:$C,MATCH($A61,'Smelter Look-up'!$E:$E,0)))</f>
        <v>PT Artha Cipta Langgeng</v>
      </c>
      <c r="D61" s="230" t="s">
        <v>840</v>
      </c>
      <c r="E61" s="182" t="str">
        <f ca="1">IF(ISERROR($V61),"",OFFSET('Smelter Look-up'!$D$4,$V61-4,0)&amp;"")</f>
        <v>INDONESIA</v>
      </c>
      <c r="F61" s="182" t="str">
        <f ca="1">IF(ISERROR($V61),"",OFFSET('Smelter Look-up'!$E$4,$V61-4,0))</f>
        <v>CID001399</v>
      </c>
      <c r="G61" s="182" t="str">
        <f ca="1">IF(C61=$X$4,IF(ISERROR($V61),"Enter smelter details","RMI"),IF(ISERROR($V61),"",OFFSET('Smelter Look-up'!$F$4,$V61-4,0)))</f>
        <v>RMI</v>
      </c>
      <c r="H61" s="183">
        <f ca="1">IF(ISERROR($V61),"",OFFSET('Smelter Look-up'!$G$4,$V61-4,0))</f>
        <v>0</v>
      </c>
      <c r="I61" s="184" t="str">
        <f ca="1">IF(ISERROR($V61),"",OFFSET('Smelter Look-up'!$H$4,$V61-4,0))</f>
        <v>Sungailiat</v>
      </c>
      <c r="J61" s="184" t="str">
        <f ca="1">IF(ISERROR($V61),"",OFFSET('Smelter Look-up'!$I$4,$V61-4,0))</f>
        <v>Kepulauan Bangka Belitung</v>
      </c>
      <c r="K61" s="224"/>
      <c r="L61" s="224"/>
      <c r="M61" s="224"/>
      <c r="N61" s="224"/>
      <c r="O61" s="224"/>
      <c r="P61" s="185"/>
      <c r="Q61" s="225"/>
      <c r="R61" s="182" t="str">
        <f ca="1">IF(ISERROR($V61),"",OFFSET('Smelter Look-up'!$C$4,$V61-4,0)&amp;"")</f>
        <v>PT Artha Cipta Langgeng</v>
      </c>
      <c r="S61" s="181" t="str">
        <f t="shared" ca="1" si="6"/>
        <v>ID</v>
      </c>
      <c r="T61" s="181" t="str">
        <f ca="1">IF(B61="","",IF(ISERROR(MATCH($J61,SorP!$B$1:$B$6279,0)),"",INDIRECT("'SorP'!$A$"&amp;MATCH($S61&amp;$J61,SorP!C:C,0))))</f>
        <v>ID-BB</v>
      </c>
      <c r="U61" s="201"/>
      <c r="V61" s="226">
        <f ca="1">IF(C61="",NA(),IF(OR(C61="Smelter not listed",C61="Smelter not yet identified"),MATCH($B61&amp;$D61,'Smelter Look-up'!$J:$J,0),MATCH($B61&amp;$C61,'Smelter Look-up'!$J:$J,0)))</f>
        <v>487</v>
      </c>
      <c r="X61" s="227">
        <f t="shared" ca="1" si="7"/>
        <v>0</v>
      </c>
      <c r="AB61" s="228" t="str">
        <f t="shared" ca="1" si="8"/>
        <v>TinPT Artha Cipta Langgeng</v>
      </c>
    </row>
    <row r="62" spans="1:28" s="227" customFormat="1" ht="50.4">
      <c r="A62" s="181" t="s">
        <v>15110</v>
      </c>
      <c r="B62" s="182" t="str">
        <f ca="1">IF(LEN(A62)=0,"",INDEX('Smelter Look-up'!$A:$A,MATCH($A62,'Smelter Look-up'!$E:$E,0)))</f>
        <v>Tin</v>
      </c>
      <c r="C62" s="186" t="str">
        <f ca="1">IF(LEN(A62)=0,"",INDEX('Smelter Look-up'!$C:$C,MATCH($A62,'Smelter Look-up'!$E:$E,0)))</f>
        <v>PT Menara Cipta Mulia</v>
      </c>
      <c r="D62" s="230" t="s">
        <v>15109</v>
      </c>
      <c r="E62" s="182" t="str">
        <f ca="1">IF(ISERROR($V62),"",OFFSET('Smelter Look-up'!$D$4,$V62-4,0)&amp;"")</f>
        <v>INDONESIA</v>
      </c>
      <c r="F62" s="182" t="str">
        <f ca="1">IF(ISERROR($V62),"",OFFSET('Smelter Look-up'!$E$4,$V62-4,0))</f>
        <v>CID002835</v>
      </c>
      <c r="G62" s="182" t="str">
        <f ca="1">IF(C62=$X$4,IF(ISERROR($V62),"Enter smelter details","RMI"),IF(ISERROR($V62),"",OFFSET('Smelter Look-up'!$F$4,$V62-4,0)))</f>
        <v>RMI</v>
      </c>
      <c r="H62" s="183">
        <f ca="1">IF(ISERROR($V62),"",OFFSET('Smelter Look-up'!$G$4,$V62-4,0))</f>
        <v>0</v>
      </c>
      <c r="I62" s="184" t="str">
        <f ca="1">IF(ISERROR($V62),"",OFFSET('Smelter Look-up'!$H$4,$V62-4,0))</f>
        <v>Mentawak</v>
      </c>
      <c r="J62" s="184" t="str">
        <f ca="1">IF(ISERROR($V62),"",OFFSET('Smelter Look-up'!$I$4,$V62-4,0))</f>
        <v>Kepulauan Bangka Belitung</v>
      </c>
      <c r="K62" s="224"/>
      <c r="L62" s="224"/>
      <c r="M62" s="224"/>
      <c r="N62" s="224"/>
      <c r="O62" s="224"/>
      <c r="P62" s="185"/>
      <c r="Q62" s="225"/>
      <c r="R62" s="182" t="str">
        <f ca="1">IF(ISERROR($V62),"",OFFSET('Smelter Look-up'!$C$4,$V62-4,0)&amp;"")</f>
        <v>PT Menara Cipta Mulia</v>
      </c>
      <c r="S62" s="181" t="str">
        <f t="shared" ca="1" si="6"/>
        <v>ID</v>
      </c>
      <c r="T62" s="181" t="str">
        <f ca="1">IF(B62="","",IF(ISERROR(MATCH($J62,SorP!$B$1:$B$6279,0)),"",INDIRECT("'SorP'!$A$"&amp;MATCH($S62&amp;$J62,SorP!C:C,0))))</f>
        <v>ID-BB</v>
      </c>
      <c r="U62" s="201"/>
      <c r="V62" s="226">
        <f ca="1">IF(C62="",NA(),IF(OR(C62="Smelter not listed",C62="Smelter not yet identified"),MATCH($B62&amp;$D62,'Smelter Look-up'!$J:$J,0),MATCH($B62&amp;$C62,'Smelter Look-up'!$J:$J,0)))</f>
        <v>499</v>
      </c>
      <c r="X62" s="227">
        <f t="shared" ca="1" si="7"/>
        <v>0</v>
      </c>
      <c r="AB62" s="228" t="str">
        <f t="shared" ca="1" si="8"/>
        <v>TinPT Menara Cipta Mulia</v>
      </c>
    </row>
    <row r="63" spans="1:28" s="227" customFormat="1" ht="50.4">
      <c r="A63" s="181" t="s">
        <v>779</v>
      </c>
      <c r="B63" s="182" t="str">
        <f ca="1">IF(LEN(A63)=0,"",INDEX('Smelter Look-up'!$A:$A,MATCH($A63,'Smelter Look-up'!$E:$E,0)))</f>
        <v>Tin</v>
      </c>
      <c r="C63" s="186" t="str">
        <f ca="1">IF(LEN(A63)=0,"",INDEX('Smelter Look-up'!$C:$C,MATCH($A63,'Smelter Look-up'!$E:$E,0)))</f>
        <v>PT Mitra Stania Prima</v>
      </c>
      <c r="D63" s="230" t="s">
        <v>627</v>
      </c>
      <c r="E63" s="182" t="str">
        <f ca="1">IF(ISERROR($V63),"",OFFSET('Smelter Look-up'!$D$4,$V63-4,0)&amp;"")</f>
        <v>INDONESIA</v>
      </c>
      <c r="F63" s="182" t="str">
        <f ca="1">IF(ISERROR($V63),"",OFFSET('Smelter Look-up'!$E$4,$V63-4,0))</f>
        <v>CID001453</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Mitra Stania Prima</v>
      </c>
      <c r="S63" s="181" t="str">
        <f t="shared" ca="1" si="6"/>
        <v>ID</v>
      </c>
      <c r="T63" s="181" t="str">
        <f ca="1">IF(B63="","",IF(ISERROR(MATCH($J63,SorP!$B$1:$B$6279,0)),"",INDIRECT("'SorP'!$A$"&amp;MATCH($S63&amp;$J63,SorP!C:C,0))))</f>
        <v>ID-BB</v>
      </c>
      <c r="U63" s="201"/>
      <c r="V63" s="226">
        <f ca="1">IF(C63="",NA(),IF(OR(C63="Smelter not listed",C63="Smelter not yet identified"),MATCH($B63&amp;$D63,'Smelter Look-up'!$J:$J,0),MATCH($B63&amp;$C63,'Smelter Look-up'!$J:$J,0)))</f>
        <v>500</v>
      </c>
      <c r="X63" s="227">
        <f t="shared" ca="1" si="7"/>
        <v>0</v>
      </c>
      <c r="AB63" s="228" t="str">
        <f t="shared" ca="1" si="8"/>
        <v>TinPT Mitra Stania Prima</v>
      </c>
    </row>
    <row r="64" spans="1:28" s="227" customFormat="1" ht="50.4">
      <c r="A64" s="181" t="s">
        <v>780</v>
      </c>
      <c r="B64" s="182" t="str">
        <f ca="1">IF(LEN(A64)=0,"",INDEX('Smelter Look-up'!$A:$A,MATCH($A64,'Smelter Look-up'!$E:$E,0)))</f>
        <v>Tin</v>
      </c>
      <c r="C64" s="186" t="str">
        <f ca="1">IF(LEN(A64)=0,"",INDEX('Smelter Look-up'!$C:$C,MATCH($A64,'Smelter Look-up'!$E:$E,0)))</f>
        <v>PT Refined Bangka Tin</v>
      </c>
      <c r="D64" s="230" t="s">
        <v>2157</v>
      </c>
      <c r="E64" s="182" t="str">
        <f ca="1">IF(ISERROR($V64),"",OFFSET('Smelter Look-up'!$D$4,$V64-4,0)&amp;"")</f>
        <v>INDONESIA</v>
      </c>
      <c r="F64" s="182" t="str">
        <f ca="1">IF(ISERROR($V64),"",OFFSET('Smelter Look-up'!$E$4,$V64-4,0))</f>
        <v>CID001460</v>
      </c>
      <c r="G64" s="182" t="str">
        <f ca="1">IF(C64=$X$4,IF(ISERROR($V64),"Enter smelter details","RMI"),IF(ISERROR($V64),"",OFFSET('Smelter Look-up'!$F$4,$V64-4,0)))</f>
        <v>RMI</v>
      </c>
      <c r="H64" s="183">
        <f ca="1">IF(ISERROR($V64),"",OFFSET('Smelter Look-up'!$G$4,$V64-4,0))</f>
        <v>0</v>
      </c>
      <c r="I64" s="184" t="str">
        <f ca="1">IF(ISERROR($V64),"",OFFSET('Smelter Look-up'!$H$4,$V64-4,0))</f>
        <v>Sungailiat</v>
      </c>
      <c r="J64" s="184" t="str">
        <f ca="1">IF(ISERROR($V64),"",OFFSET('Smelter Look-up'!$I$4,$V64-4,0))</f>
        <v>Kepulauan Bangka Belitung</v>
      </c>
      <c r="K64" s="224"/>
      <c r="L64" s="224"/>
      <c r="M64" s="224"/>
      <c r="N64" s="224"/>
      <c r="O64" s="224"/>
      <c r="P64" s="185"/>
      <c r="Q64" s="225"/>
      <c r="R64" s="182" t="str">
        <f ca="1">IF(ISERROR($V64),"",OFFSET('Smelter Look-up'!$C$4,$V64-4,0)&amp;"")</f>
        <v>PT Refined Bangka Tin</v>
      </c>
      <c r="S64" s="181" t="str">
        <f t="shared" ca="1" si="6"/>
        <v>ID</v>
      </c>
      <c r="T64" s="181" t="str">
        <f ca="1">IF(B64="","",IF(ISERROR(MATCH($J64,SorP!$B$1:$B$6279,0)),"",INDIRECT("'SorP'!$A$"&amp;MATCH($S64&amp;$J64,SorP!C:C,0))))</f>
        <v>ID-BB</v>
      </c>
      <c r="U64" s="201"/>
      <c r="V64" s="226">
        <f ca="1">IF(C64="",NA(),IF(OR(C64="Smelter not listed",C64="Smelter not yet identified"),MATCH($B64&amp;$D64,'Smelter Look-up'!$J:$J,0),MATCH($B64&amp;$C64,'Smelter Look-up'!$J:$J,0)))</f>
        <v>507</v>
      </c>
      <c r="X64" s="227">
        <f t="shared" ca="1" si="7"/>
        <v>0</v>
      </c>
      <c r="AB64" s="228" t="str">
        <f t="shared" ca="1" si="8"/>
        <v>TinPT Refined Bangka Tin</v>
      </c>
    </row>
    <row r="65" spans="1:28" s="227" customFormat="1" ht="50.4">
      <c r="A65" s="181" t="s">
        <v>800</v>
      </c>
      <c r="B65" s="182" t="str">
        <f ca="1">IF(LEN(A65)=0,"",INDEX('Smelter Look-up'!$A:$A,MATCH($A65,'Smelter Look-up'!$E:$E,0)))</f>
        <v>Tin</v>
      </c>
      <c r="C65" s="186" t="str">
        <f ca="1">IF(LEN(A65)=0,"",INDEX('Smelter Look-up'!$C:$C,MATCH($A65,'Smelter Look-up'!$E:$E,0)))</f>
        <v>PT Timah Tbk Kundur</v>
      </c>
      <c r="D65" s="230" t="s">
        <v>13802</v>
      </c>
      <c r="E65" s="182" t="str">
        <f ca="1">IF(ISERROR($V65),"",OFFSET('Smelter Look-up'!$D$4,$V65-4,0)&amp;"")</f>
        <v>INDONESIA</v>
      </c>
      <c r="F65" s="182" t="str">
        <f ca="1">IF(ISERROR($V65),"",OFFSET('Smelter Look-up'!$E$4,$V65-4,0))</f>
        <v>CID001477</v>
      </c>
      <c r="G65" s="182" t="str">
        <f ca="1">IF(C65=$X$4,IF(ISERROR($V65),"Enter smelter details","RMI"),IF(ISERROR($V65),"",OFFSET('Smelter Look-up'!$F$4,$V65-4,0)))</f>
        <v>RMI</v>
      </c>
      <c r="H65" s="183">
        <f ca="1">IF(ISERROR($V65),"",OFFSET('Smelter Look-up'!$G$4,$V65-4,0))</f>
        <v>0</v>
      </c>
      <c r="I65" s="184" t="str">
        <f ca="1">IF(ISERROR($V65),"",OFFSET('Smelter Look-up'!$H$4,$V65-4,0))</f>
        <v>Kundur</v>
      </c>
      <c r="J65" s="184" t="str">
        <f ca="1">IF(ISERROR($V65),"",OFFSET('Smelter Look-up'!$I$4,$V65-4,0))</f>
        <v>Riau</v>
      </c>
      <c r="K65" s="224"/>
      <c r="L65" s="224"/>
      <c r="M65" s="224"/>
      <c r="N65" s="224"/>
      <c r="O65" s="224"/>
      <c r="P65" s="185"/>
      <c r="Q65" s="225"/>
      <c r="R65" s="182" t="str">
        <f ca="1">IF(ISERROR($V65),"",OFFSET('Smelter Look-up'!$C$4,$V65-4,0)&amp;"")</f>
        <v>PT Timah Tbk Kundur</v>
      </c>
      <c r="S65" s="181" t="str">
        <f t="shared" ca="1" si="6"/>
        <v>ID</v>
      </c>
      <c r="T65" s="181" t="str">
        <f ca="1">IF(B65="","",IF(ISERROR(MATCH($J65,SorP!$B$1:$B$6279,0)),"",INDIRECT("'SorP'!$A$"&amp;MATCH($S65&amp;$J65,SorP!C:C,0))))</f>
        <v>ID-RI</v>
      </c>
      <c r="U65" s="201"/>
      <c r="V65" s="226">
        <f ca="1">IF(C65="",NA(),IF(OR(C65="Smelter not listed",C65="Smelter not yet identified"),MATCH($B65&amp;$D65,'Smelter Look-up'!$J:$J,0),MATCH($B65&amp;$C65,'Smelter Look-up'!$J:$J,0)))</f>
        <v>513</v>
      </c>
      <c r="X65" s="227">
        <f t="shared" ca="1" si="7"/>
        <v>0</v>
      </c>
      <c r="AB65" s="228" t="str">
        <f t="shared" ca="1" si="8"/>
        <v>TinPT Timah Tbk Kundur</v>
      </c>
    </row>
    <row r="66" spans="1:28" s="227" customFormat="1" ht="50.4">
      <c r="A66" s="181" t="s">
        <v>781</v>
      </c>
      <c r="B66" s="182" t="str">
        <f ca="1">IF(LEN(A66)=0,"",INDEX('Smelter Look-up'!$A:$A,MATCH($A66,'Smelter Look-up'!$E:$E,0)))</f>
        <v>Tin</v>
      </c>
      <c r="C66" s="186" t="str">
        <f ca="1">IF(LEN(A66)=0,"",INDEX('Smelter Look-up'!$C:$C,MATCH($A66,'Smelter Look-up'!$E:$E,0)))</f>
        <v>PT Timah Tbk Mentok</v>
      </c>
      <c r="D66" s="230" t="s">
        <v>13801</v>
      </c>
      <c r="E66" s="182" t="str">
        <f ca="1">IF(ISERROR($V66),"",OFFSET('Smelter Look-up'!$D$4,$V66-4,0)&amp;"")</f>
        <v>INDONESIA</v>
      </c>
      <c r="F66" s="182" t="str">
        <f ca="1">IF(ISERROR($V66),"",OFFSET('Smelter Look-up'!$E$4,$V66-4,0))</f>
        <v>CID001482</v>
      </c>
      <c r="G66" s="182" t="str">
        <f ca="1">IF(C66=$X$4,IF(ISERROR($V66),"Enter smelter details","RMI"),IF(ISERROR($V66),"",OFFSET('Smelter Look-up'!$F$4,$V66-4,0)))</f>
        <v>RMI</v>
      </c>
      <c r="H66" s="183">
        <f ca="1">IF(ISERROR($V66),"",OFFSET('Smelter Look-up'!$G$4,$V66-4,0))</f>
        <v>0</v>
      </c>
      <c r="I66" s="184" t="str">
        <f ca="1">IF(ISERROR($V66),"",OFFSET('Smelter Look-up'!$H$4,$V66-4,0))</f>
        <v>Mentok</v>
      </c>
      <c r="J66" s="184" t="str">
        <f ca="1">IF(ISERROR($V66),"",OFFSET('Smelter Look-up'!$I$4,$V66-4,0))</f>
        <v>Kepulauan Bangka Belitung</v>
      </c>
      <c r="K66" s="224"/>
      <c r="L66" s="224"/>
      <c r="M66" s="224"/>
      <c r="N66" s="224"/>
      <c r="O66" s="224"/>
      <c r="P66" s="185"/>
      <c r="Q66" s="225"/>
      <c r="R66" s="182" t="str">
        <f ca="1">IF(ISERROR($V66),"",OFFSET('Smelter Look-up'!$C$4,$V66-4,0)&amp;"")</f>
        <v>PT Timah Tbk Mentok</v>
      </c>
      <c r="S66" s="181" t="str">
        <f t="shared" ca="1" si="6"/>
        <v>ID</v>
      </c>
      <c r="T66" s="181" t="str">
        <f ca="1">IF(B66="","",IF(ISERROR(MATCH($J66,SorP!$B$1:$B$6279,0)),"",INDIRECT("'SorP'!$A$"&amp;MATCH($S66&amp;$J66,SorP!C:C,0))))</f>
        <v>ID-BB</v>
      </c>
      <c r="U66" s="201"/>
      <c r="V66" s="226">
        <f ca="1">IF(C66="",NA(),IF(OR(C66="Smelter not listed",C66="Smelter not yet identified"),MATCH($B66&amp;$D66,'Smelter Look-up'!$J:$J,0),MATCH($B66&amp;$C66,'Smelter Look-up'!$J:$J,0)))</f>
        <v>514</v>
      </c>
      <c r="X66" s="227">
        <f t="shared" ca="1" si="7"/>
        <v>0</v>
      </c>
      <c r="AB66" s="228" t="str">
        <f t="shared" ca="1" si="8"/>
        <v>TinPT Timah Tbk Mentok</v>
      </c>
    </row>
    <row r="67" spans="1:28" s="227" customFormat="1" ht="25.2">
      <c r="A67" s="181" t="s">
        <v>783</v>
      </c>
      <c r="B67" s="182" t="str">
        <f ca="1">IF(LEN(A67)=0,"",INDEX('Smelter Look-up'!$A:$A,MATCH($A67,'Smelter Look-up'!$E:$E,0)))</f>
        <v>Tin</v>
      </c>
      <c r="C67" s="186" t="str">
        <f ca="1">IF(LEN(A67)=0,"",INDEX('Smelter Look-up'!$C:$C,MATCH($A67,'Smelter Look-up'!$E:$E,0)))</f>
        <v>Rui Da Hung</v>
      </c>
      <c r="D67" s="230" t="s">
        <v>782</v>
      </c>
      <c r="E67" s="182" t="str">
        <f ca="1">IF(ISERROR($V67),"",OFFSET('Smelter Look-up'!$D$4,$V67-4,0)&amp;"")</f>
        <v>TAIWAN, PROVINCE OF CHINA</v>
      </c>
      <c r="F67" s="182" t="str">
        <f ca="1">IF(ISERROR($V67),"",OFFSET('Smelter Look-up'!$E$4,$V67-4,0))</f>
        <v>CID001539</v>
      </c>
      <c r="G67" s="182" t="str">
        <f ca="1">IF(C67=$X$4,IF(ISERROR($V67),"Enter smelter details","RMI"),IF(ISERROR($V67),"",OFFSET('Smelter Look-up'!$F$4,$V67-4,0)))</f>
        <v>RMI</v>
      </c>
      <c r="H67" s="183">
        <f ca="1">IF(ISERROR($V67),"",OFFSET('Smelter Look-up'!$G$4,$V67-4,0))</f>
        <v>0</v>
      </c>
      <c r="I67" s="184" t="str">
        <f ca="1">IF(ISERROR($V67),"",OFFSET('Smelter Look-up'!$H$4,$V67-4,0))</f>
        <v>Longtan Shiang Taoyuan</v>
      </c>
      <c r="J67" s="184" t="str">
        <f ca="1">IF(ISERROR($V67),"",OFFSET('Smelter Look-up'!$I$4,$V67-4,0))</f>
        <v>Taoyuan</v>
      </c>
      <c r="K67" s="224"/>
      <c r="L67" s="224"/>
      <c r="M67" s="224"/>
      <c r="N67" s="224"/>
      <c r="O67" s="224"/>
      <c r="P67" s="185"/>
      <c r="Q67" s="225"/>
      <c r="R67" s="182" t="str">
        <f ca="1">IF(ISERROR($V67),"",OFFSET('Smelter Look-up'!$C$4,$V67-4,0)&amp;"")</f>
        <v>Rui Da Hung</v>
      </c>
      <c r="S67" s="181" t="str">
        <f t="shared" ca="1" si="6"/>
        <v>TW</v>
      </c>
      <c r="T67" s="181" t="str">
        <f ca="1">IF(B67="","",IF(ISERROR(MATCH($J67,SorP!$B$1:$B$6279,0)),"",INDIRECT("'SorP'!$A$"&amp;MATCH($S67&amp;$J67,SorP!C:C,0))))</f>
        <v>TW-TAO</v>
      </c>
      <c r="U67" s="201"/>
      <c r="V67" s="226">
        <f ca="1">IF(C67="",NA(),IF(OR(C67="Smelter not listed",C67="Smelter not yet identified"),MATCH($B67&amp;$D67,'Smelter Look-up'!$J:$J,0),MATCH($B67&amp;$C67,'Smelter Look-up'!$J:$J,0)))</f>
        <v>521</v>
      </c>
      <c r="X67" s="227">
        <f t="shared" ca="1" si="7"/>
        <v>0</v>
      </c>
      <c r="AB67" s="228" t="str">
        <f t="shared" ca="1" si="8"/>
        <v>TinRui Da Hung</v>
      </c>
    </row>
    <row r="68" spans="1:28" s="227" customFormat="1" ht="25.2">
      <c r="A68" s="181" t="s">
        <v>784</v>
      </c>
      <c r="B68" s="182" t="str">
        <f ca="1">IF(LEN(A68)=0,"",INDEX('Smelter Look-up'!$A:$A,MATCH($A68,'Smelter Look-up'!$E:$E,0)))</f>
        <v>Tin</v>
      </c>
      <c r="C68" s="186" t="str">
        <f ca="1">IF(LEN(A68)=0,"",INDEX('Smelter Look-up'!$C:$C,MATCH($A68,'Smelter Look-up'!$E:$E,0)))</f>
        <v>Thaisarco</v>
      </c>
      <c r="D68" s="230" t="s">
        <v>1027</v>
      </c>
      <c r="E68" s="182" t="str">
        <f ca="1">IF(ISERROR($V68),"",OFFSET('Smelter Look-up'!$D$4,$V68-4,0)&amp;"")</f>
        <v>THAILAND</v>
      </c>
      <c r="F68" s="182" t="str">
        <f ca="1">IF(ISERROR($V68),"",OFFSET('Smelter Look-up'!$E$4,$V68-4,0))</f>
        <v>CID001898</v>
      </c>
      <c r="G68" s="182" t="str">
        <f ca="1">IF(C68=$X$4,IF(ISERROR($V68),"Enter smelter details","RMI"),IF(ISERROR($V68),"",OFFSET('Smelter Look-up'!$F$4,$V68-4,0)))</f>
        <v>RMI</v>
      </c>
      <c r="H68" s="183">
        <f ca="1">IF(ISERROR($V68),"",OFFSET('Smelter Look-up'!$G$4,$V68-4,0))</f>
        <v>0</v>
      </c>
      <c r="I68" s="184" t="str">
        <f ca="1">IF(ISERROR($V68),"",OFFSET('Smelter Look-up'!$H$4,$V68-4,0))</f>
        <v>Amphur Muang</v>
      </c>
      <c r="J68" s="184" t="str">
        <f ca="1">IF(ISERROR($V68),"",OFFSET('Smelter Look-up'!$I$4,$V68-4,0))</f>
        <v>Phuket</v>
      </c>
      <c r="K68" s="224"/>
      <c r="L68" s="224"/>
      <c r="M68" s="224"/>
      <c r="N68" s="224"/>
      <c r="O68" s="224"/>
      <c r="P68" s="185"/>
      <c r="Q68" s="225"/>
      <c r="R68" s="182" t="str">
        <f ca="1">IF(ISERROR($V68),"",OFFSET('Smelter Look-up'!$C$4,$V68-4,0)&amp;"")</f>
        <v>Thaisarco</v>
      </c>
      <c r="S68" s="181" t="str">
        <f t="shared" ca="1" si="6"/>
        <v>TH</v>
      </c>
      <c r="T68" s="181" t="str">
        <f ca="1">IF(B68="","",IF(ISERROR(MATCH($J68,SorP!$B$1:$B$6279,0)),"",INDIRECT("'SorP'!$A$"&amp;MATCH($S68&amp;$J68,SorP!C:C,0))))</f>
        <v>TH-83</v>
      </c>
      <c r="U68" s="201"/>
      <c r="V68" s="226">
        <f ca="1">IF(C68="",NA(),IF(OR(C68="Smelter not listed",C68="Smelter not yet identified"),MATCH($B68&amp;$D68,'Smelter Look-up'!$J:$J,0),MATCH($B68&amp;$C68,'Smelter Look-up'!$J:$J,0)))</f>
        <v>526</v>
      </c>
      <c r="X68" s="227">
        <f t="shared" ca="1" si="7"/>
        <v>0</v>
      </c>
      <c r="AB68" s="228" t="str">
        <f t="shared" ca="1" si="8"/>
        <v>TinThaisarco</v>
      </c>
    </row>
    <row r="69" spans="1:28" s="227" customFormat="1" ht="50.4">
      <c r="A69" s="181" t="s">
        <v>13184</v>
      </c>
      <c r="B69" s="182" t="str">
        <f ca="1">IF(LEN(A69)=0,"",INDEX('Smelter Look-up'!$A:$A,MATCH($A69,'Smelter Look-up'!$E:$E,0)))</f>
        <v>Tin</v>
      </c>
      <c r="C69" s="186" t="str">
        <f ca="1">IF(LEN(A69)=0,"",INDEX('Smelter Look-up'!$C:$C,MATCH($A69,'Smelter Look-up'!$E:$E,0)))</f>
        <v>Tin Technology &amp; Refining</v>
      </c>
      <c r="D69" s="230" t="s">
        <v>13183</v>
      </c>
      <c r="E69" s="182" t="str">
        <f ca="1">IF(ISERROR($V69),"",OFFSET('Smelter Look-up'!$D$4,$V69-4,0)&amp;"")</f>
        <v>UNITED STATES OF AMERICA</v>
      </c>
      <c r="F69" s="182" t="str">
        <f ca="1">IF(ISERROR($V69),"",OFFSET('Smelter Look-up'!$E$4,$V69-4,0))</f>
        <v>CID003325</v>
      </c>
      <c r="G69" s="182" t="str">
        <f ca="1">IF(C69=$X$4,IF(ISERROR($V69),"Enter smelter details","RMI"),IF(ISERROR($V69),"",OFFSET('Smelter Look-up'!$F$4,$V69-4,0)))</f>
        <v>RMI</v>
      </c>
      <c r="H69" s="183">
        <f ca="1">IF(ISERROR($V69),"",OFFSET('Smelter Look-up'!$G$4,$V69-4,0))</f>
        <v>0</v>
      </c>
      <c r="I69" s="184" t="str">
        <f ca="1">IF(ISERROR($V69),"",OFFSET('Smelter Look-up'!$H$4,$V69-4,0))</f>
        <v>West Chester</v>
      </c>
      <c r="J69" s="184" t="str">
        <f ca="1">IF(ISERROR($V69),"",OFFSET('Smelter Look-up'!$I$4,$V69-4,0))</f>
        <v>Pennsylvania</v>
      </c>
      <c r="K69" s="224"/>
      <c r="L69" s="224"/>
      <c r="M69" s="224"/>
      <c r="N69" s="224"/>
      <c r="O69" s="224"/>
      <c r="P69" s="185"/>
      <c r="Q69" s="225"/>
      <c r="R69" s="182" t="str">
        <f ca="1">IF(ISERROR($V69),"",OFFSET('Smelter Look-up'!$C$4,$V69-4,0)&amp;"")</f>
        <v>Tin Technology &amp; Refining</v>
      </c>
      <c r="S69" s="181" t="str">
        <f t="shared" ref="S69" ca="1" si="9">IF(B69="","",IF(ISERROR(MATCH($E69,CL,0)),"Unknown",INDIRECT("'C'!$A$"&amp;MATCH($E69,CL,0)+1)))</f>
        <v>US</v>
      </c>
      <c r="T69" s="181" t="str">
        <f ca="1">IF(B69="","",IF(ISERROR(MATCH($J69,SorP!$B$1:$B$6279,0)),"",INDIRECT("'SorP'!$A$"&amp;MATCH($S69&amp;$J69,SorP!C:C,0))))</f>
        <v>US-PA</v>
      </c>
      <c r="U69" s="201"/>
      <c r="V69" s="226">
        <f ca="1">IF(C69="",NA(),IF(OR(C69="Smelter not listed",C69="Smelter not yet identified"),MATCH($B69&amp;$D69,'Smelter Look-up'!$J:$J,0),MATCH($B69&amp;$C69,'Smelter Look-up'!$J:$J,0)))</f>
        <v>530</v>
      </c>
      <c r="X69" s="227">
        <f t="shared" ref="X69" ca="1" si="10">IF(AND(C69="Smelter not listed",OR(LEN(D69)=0,LEN(E69)=0)),1,0)</f>
        <v>0</v>
      </c>
      <c r="AB69" s="228" t="str">
        <f t="shared" ref="AB69" ca="1" si="11">B69&amp;C69</f>
        <v>TinTin Technology &amp; Refining</v>
      </c>
    </row>
    <row r="70" spans="1:28" s="227" customFormat="1" ht="75.599999999999994">
      <c r="A70" s="181" t="s">
        <v>785</v>
      </c>
      <c r="B70" s="182" t="str">
        <f ca="1">IF(LEN(A70)=0,"",INDEX('Smelter Look-up'!$A:$A,MATCH($A70,'Smelter Look-up'!$E:$E,0)))</f>
        <v>Tin</v>
      </c>
      <c r="C70" s="186" t="str">
        <f ca="1">IF(LEN(A70)=0,"",INDEX('Smelter Look-up'!$C:$C,MATCH($A70,'Smelter Look-up'!$E:$E,0)))</f>
        <v>White Solder Metalurgia e Mineracao Ltda.</v>
      </c>
      <c r="D70" s="230" t="s">
        <v>2532</v>
      </c>
      <c r="E70" s="182" t="str">
        <f ca="1">IF(ISERROR($V70),"",OFFSET('Smelter Look-up'!$D$4,$V70-4,0)&amp;"")</f>
        <v>BRAZIL</v>
      </c>
      <c r="F70" s="182" t="str">
        <f ca="1">IF(ISERROR($V70),"",OFFSET('Smelter Look-up'!$E$4,$V70-4,0))</f>
        <v>CID002036</v>
      </c>
      <c r="G70" s="182" t="str">
        <f ca="1">IF(C70=$X$4,IF(ISERROR($V70),"Enter smelter details","RMI"),IF(ISERROR($V70),"",OFFSET('Smelter Look-up'!$F$4,$V70-4,0)))</f>
        <v>RMI</v>
      </c>
      <c r="H70" s="183">
        <f ca="1">IF(ISERROR($V70),"",OFFSET('Smelter Look-up'!$G$4,$V70-4,0))</f>
        <v>0</v>
      </c>
      <c r="I70" s="184" t="str">
        <f ca="1">IF(ISERROR($V70),"",OFFSET('Smelter Look-up'!$H$4,$V70-4,0))</f>
        <v>Ariquemes</v>
      </c>
      <c r="J70" s="184" t="str">
        <f ca="1">IF(ISERROR($V70),"",OFFSET('Smelter Look-up'!$I$4,$V70-4,0))</f>
        <v>Rondônia</v>
      </c>
      <c r="K70" s="224"/>
      <c r="L70" s="224"/>
      <c r="M70" s="224"/>
      <c r="N70" s="224"/>
      <c r="O70" s="224"/>
      <c r="P70" s="185"/>
      <c r="Q70" s="225"/>
      <c r="R70" s="182" t="str">
        <f ca="1">IF(ISERROR($V70),"",OFFSET('Smelter Look-up'!$C$4,$V70-4,0)&amp;"")</f>
        <v>White Solder Metalurgia e Mineracao Ltda.</v>
      </c>
      <c r="S70" s="181" t="str">
        <f t="shared" ref="S70:S101" ca="1" si="12">IF(B70="","",IF(ISERROR(MATCH($E70,CL,0)),"Unknown",INDIRECT("'C'!$A$"&amp;MATCH($E70,CL,0)+1)))</f>
        <v>BR</v>
      </c>
      <c r="T70" s="181" t="str">
        <f ca="1">IF(B70="","",IF(ISERROR(MATCH($J70,SorP!$B$1:$B$6279,0)),"",INDIRECT("'SorP'!$A$"&amp;MATCH($S70&amp;$J70,SorP!C:C,0))))</f>
        <v>BR-RO</v>
      </c>
      <c r="U70" s="201"/>
      <c r="V70" s="226">
        <f ca="1">IF(C70="",NA(),IF(OR(C70="Smelter not listed",C70="Smelter not yet identified"),MATCH($B70&amp;$D70,'Smelter Look-up'!$J:$J,0),MATCH($B70&amp;$C70,'Smelter Look-up'!$J:$J,0)))</f>
        <v>535</v>
      </c>
      <c r="X70" s="227">
        <f t="shared" ref="X70:X101" ca="1" si="13">IF(AND(C70="Smelter not listed",OR(LEN(D70)=0,LEN(E70)=0)),1,0)</f>
        <v>0</v>
      </c>
      <c r="AB70" s="228" t="str">
        <f t="shared" ref="AB70:AB101" ca="1" si="14">B70&amp;C70</f>
        <v>TinWhite Solder Metalurgia e Mineracao Ltda.</v>
      </c>
    </row>
    <row r="71" spans="1:28" s="227" customFormat="1" ht="25.2">
      <c r="A71" s="181" t="s">
        <v>763</v>
      </c>
      <c r="B71" s="182" t="str">
        <f ca="1">IF(LEN(A71)=0,"",INDEX('Smelter Look-up'!$A:$A,MATCH($A71,'Smelter Look-up'!$E:$E,0)))</f>
        <v>Tin</v>
      </c>
      <c r="C71" s="186" t="str">
        <f ca="1">IF(LEN(A71)=0,"",INDEX('Smelter Look-up'!$C:$C,MATCH($A71,'Smelter Look-up'!$E:$E,0)))</f>
        <v>Alpha</v>
      </c>
      <c r="D71" s="230" t="s">
        <v>49</v>
      </c>
      <c r="E71" s="182" t="str">
        <f ca="1">IF(ISERROR($V71),"",OFFSET('Smelter Look-up'!$D$4,$V71-4,0)&amp;"")</f>
        <v>UNITED STATES OF AMERICA</v>
      </c>
      <c r="F71" s="182" t="str">
        <f ca="1">IF(ISERROR($V71),"",OFFSET('Smelter Look-up'!$E$4,$V71-4,0))</f>
        <v>CID000292</v>
      </c>
      <c r="G71" s="182" t="str">
        <f ca="1">IF(C71=$X$4,IF(ISERROR($V71),"Enter smelter details","RMI"),IF(ISERROR($V71),"",OFFSET('Smelter Look-up'!$F$4,$V71-4,0)))</f>
        <v>RMI</v>
      </c>
      <c r="H71" s="183">
        <f ca="1">IF(ISERROR($V71),"",OFFSET('Smelter Look-up'!$G$4,$V71-4,0))</f>
        <v>0</v>
      </c>
      <c r="I71" s="184" t="str">
        <f ca="1">IF(ISERROR($V71),"",OFFSET('Smelter Look-up'!$H$4,$V71-4,0))</f>
        <v>Altoona</v>
      </c>
      <c r="J71" s="184" t="str">
        <f ca="1">IF(ISERROR($V71),"",OFFSET('Smelter Look-up'!$I$4,$V71-4,0))</f>
        <v>Pennsylvania</v>
      </c>
      <c r="K71" s="224"/>
      <c r="L71" s="224"/>
      <c r="M71" s="224"/>
      <c r="N71" s="224"/>
      <c r="O71" s="224"/>
      <c r="P71" s="185"/>
      <c r="Q71" s="225"/>
      <c r="R71" s="182" t="str">
        <f ca="1">IF(ISERROR($V71),"",OFFSET('Smelter Look-up'!$C$4,$V71-4,0)&amp;"")</f>
        <v>Alpha</v>
      </c>
      <c r="S71" s="181" t="str">
        <f t="shared" ca="1" si="12"/>
        <v>US</v>
      </c>
      <c r="T71" s="181" t="str">
        <f ca="1">IF(B71="","",IF(ISERROR(MATCH($J71,SorP!$B$1:$B$6279,0)),"",INDIRECT("'SorP'!$A$"&amp;MATCH($S71&amp;$J71,SorP!C:C,0))))</f>
        <v>US-PA</v>
      </c>
      <c r="U71" s="201"/>
      <c r="V71" s="226">
        <f ca="1">IF(C71="",NA(),IF(OR(C71="Smelter not listed",C71="Smelter not yet identified"),MATCH($B71&amp;$D71,'Smelter Look-up'!$J:$J,0),MATCH($B71&amp;$C71,'Smelter Look-up'!$J:$J,0)))</f>
        <v>389</v>
      </c>
      <c r="X71" s="227">
        <f t="shared" ca="1" si="13"/>
        <v>0</v>
      </c>
      <c r="AB71" s="228" t="str">
        <f t="shared" ca="1" si="14"/>
        <v>TinAlpha</v>
      </c>
    </row>
    <row r="72" spans="1:28" s="227" customFormat="1" ht="50.4">
      <c r="A72" s="181" t="s">
        <v>14029</v>
      </c>
      <c r="B72" s="182" t="str">
        <f ca="1">IF(LEN(A72)=0,"",INDEX('Smelter Look-up'!$A:$A,MATCH($A72,'Smelter Look-up'!$E:$E,0)))</f>
        <v>Tin</v>
      </c>
      <c r="C72" s="186" t="str">
        <f ca="1">IF(LEN(A72)=0,"",INDEX('Smelter Look-up'!$C:$C,MATCH($A72,'Smelter Look-up'!$E:$E,0)))</f>
        <v>PT Bangka Serumpun</v>
      </c>
      <c r="D72" s="230" t="s">
        <v>12936</v>
      </c>
      <c r="E72" s="182" t="str">
        <f ca="1">IF(ISERROR($V72),"",OFFSET('Smelter Look-up'!$D$4,$V72-4,0)&amp;"")</f>
        <v>INDONESIA</v>
      </c>
      <c r="F72" s="182" t="str">
        <f ca="1">IF(ISERROR($V72),"",OFFSET('Smelter Look-up'!$E$4,$V72-4,0))</f>
        <v>CID003205</v>
      </c>
      <c r="G72" s="182" t="str">
        <f ca="1">IF(C72=$X$4,IF(ISERROR($V72),"Enter smelter details","RMI"),IF(ISERROR($V72),"",OFFSET('Smelter Look-up'!$F$4,$V72-4,0)))</f>
        <v>RMI</v>
      </c>
      <c r="H72" s="183">
        <f ca="1">IF(ISERROR($V72),"",OFFSET('Smelter Look-up'!$G$4,$V72-4,0))</f>
        <v>0</v>
      </c>
      <c r="I72" s="184" t="str">
        <f ca="1">IF(ISERROR($V72),"",OFFSET('Smelter Look-up'!$H$4,$V72-4,0))</f>
        <v>Pangkalpinang</v>
      </c>
      <c r="J72" s="184" t="str">
        <f ca="1">IF(ISERROR($V72),"",OFFSET('Smelter Look-up'!$I$4,$V72-4,0))</f>
        <v>Kepulauan Bangka Belitung</v>
      </c>
      <c r="K72" s="224"/>
      <c r="L72" s="224"/>
      <c r="M72" s="224"/>
      <c r="N72" s="224"/>
      <c r="O72" s="224"/>
      <c r="P72" s="185"/>
      <c r="Q72" s="225"/>
      <c r="R72" s="182" t="str">
        <f ca="1">IF(ISERROR($V72),"",OFFSET('Smelter Look-up'!$C$4,$V72-4,0)&amp;"")</f>
        <v>PT Bangka Serumpun</v>
      </c>
      <c r="S72" s="181" t="str">
        <f t="shared" ca="1" si="12"/>
        <v>ID</v>
      </c>
      <c r="T72" s="181" t="str">
        <f ca="1">IF(B72="","",IF(ISERROR(MATCH($J72,SorP!$B$1:$B$6279,0)),"",INDIRECT("'SorP'!$A$"&amp;MATCH($S72&amp;$J72,SorP!C:C,0))))</f>
        <v>ID-BB</v>
      </c>
      <c r="U72" s="201"/>
      <c r="V72" s="226">
        <f ca="1">IF(C72="",NA(),IF(OR(C72="Smelter not listed",C72="Smelter not yet identified"),MATCH($B72&amp;$D72,'Smelter Look-up'!$J:$J,0),MATCH($B72&amp;$C72,'Smelter Look-up'!$J:$J,0)))</f>
        <v>492</v>
      </c>
      <c r="X72" s="227">
        <f t="shared" ca="1" si="13"/>
        <v>0</v>
      </c>
      <c r="AB72" s="228" t="str">
        <f t="shared" ca="1" si="14"/>
        <v>TinPT Bangka Serumpun</v>
      </c>
    </row>
    <row r="73" spans="1:28" s="227" customFormat="1" ht="50.4">
      <c r="A73" s="181" t="s">
        <v>770</v>
      </c>
      <c r="B73" s="182" t="str">
        <f ca="1">IF(LEN(A73)=0,"",INDEX('Smelter Look-up'!$A:$A,MATCH($A73,'Smelter Look-up'!$E:$E,0)))</f>
        <v>Tin</v>
      </c>
      <c r="C73" s="186" t="str">
        <f ca="1">IF(LEN(A73)=0,"",INDEX('Smelter Look-up'!$C:$C,MATCH($A73,'Smelter Look-up'!$E:$E,0)))</f>
        <v>China Tin Group Co., Ltd.</v>
      </c>
      <c r="D73" s="230" t="s">
        <v>1322</v>
      </c>
      <c r="E73" s="182" t="str">
        <f ca="1">IF(ISERROR($V73),"",OFFSET('Smelter Look-up'!$D$4,$V73-4,0)&amp;"")</f>
        <v>CHINA</v>
      </c>
      <c r="F73" s="182" t="str">
        <f ca="1">IF(ISERROR($V73),"",OFFSET('Smelter Look-up'!$E$4,$V73-4,0))</f>
        <v>CID001070</v>
      </c>
      <c r="G73" s="182" t="str">
        <f ca="1">IF(C73=$X$4,IF(ISERROR($V73),"Enter smelter details","RMI"),IF(ISERROR($V73),"",OFFSET('Smelter Look-up'!$F$4,$V73-4,0)))</f>
        <v>RMI</v>
      </c>
      <c r="H73" s="183">
        <f ca="1">IF(ISERROR($V73),"",OFFSET('Smelter Look-up'!$G$4,$V73-4,0))</f>
        <v>0</v>
      </c>
      <c r="I73" s="184" t="str">
        <f ca="1">IF(ISERROR($V73),"",OFFSET('Smelter Look-up'!$H$4,$V73-4,0))</f>
        <v>Laibin</v>
      </c>
      <c r="J73" s="184" t="str">
        <f ca="1">IF(ISERROR($V73),"",OFFSET('Smelter Look-up'!$I$4,$V73-4,0))</f>
        <v>Guangxi Zhuangzu Zizhiqu</v>
      </c>
      <c r="K73" s="224"/>
      <c r="L73" s="224"/>
      <c r="M73" s="224"/>
      <c r="N73" s="224"/>
      <c r="O73" s="224"/>
      <c r="P73" s="185"/>
      <c r="Q73" s="225"/>
      <c r="R73" s="182" t="str">
        <f ca="1">IF(ISERROR($V73),"",OFFSET('Smelter Look-up'!$C$4,$V73-4,0)&amp;"")</f>
        <v>China Tin Group Co., Ltd.</v>
      </c>
      <c r="S73" s="181" t="str">
        <f t="shared" ca="1" si="12"/>
        <v>CN</v>
      </c>
      <c r="T73" s="181" t="str">
        <f ca="1">IF(B73="","",IF(ISERROR(MATCH($J73,SorP!$B$1:$B$6279,0)),"",INDIRECT("'SorP'!$A$"&amp;MATCH($S73&amp;$J73,SorP!C:C,0))))</f>
        <v>CN-GX</v>
      </c>
      <c r="U73" s="201"/>
      <c r="V73" s="226">
        <f ca="1">IF(C73="",NA(),IF(OR(C73="Smelter not listed",C73="Smelter not yet identified"),MATCH($B73&amp;$D73,'Smelter Look-up'!$J:$J,0),MATCH($B73&amp;$C73,'Smelter Look-up'!$J:$J,0)))</f>
        <v>403</v>
      </c>
      <c r="X73" s="227">
        <f t="shared" ca="1" si="13"/>
        <v>0</v>
      </c>
      <c r="AB73" s="228" t="str">
        <f t="shared" ca="1" si="14"/>
        <v>TinChina Tin Group Co., Ltd.</v>
      </c>
    </row>
    <row r="74" spans="1:28" s="227" customFormat="1" ht="50.4">
      <c r="A74" s="181" t="s">
        <v>15114</v>
      </c>
      <c r="B74" s="182" t="str">
        <f ca="1">IF(LEN(A74)=0,"",INDEX('Smelter Look-up'!$A:$A,MATCH($A74,'Smelter Look-up'!$E:$E,0)))</f>
        <v>Tin</v>
      </c>
      <c r="C74" s="186" t="str">
        <f ca="1">IF(LEN(A74)=0,"",INDEX('Smelter Look-up'!$C:$C,MATCH($A74,'Smelter Look-up'!$E:$E,0)))</f>
        <v>PT Rajawali Rimba Perkasa</v>
      </c>
      <c r="D74" s="230" t="s">
        <v>15113</v>
      </c>
      <c r="E74" s="182" t="str">
        <f ca="1">IF(ISERROR($V74),"",OFFSET('Smelter Look-up'!$D$4,$V74-4,0)&amp;"")</f>
        <v>INDONESIA</v>
      </c>
      <c r="F74" s="182" t="str">
        <f ca="1">IF(ISERROR($V74),"",OFFSET('Smelter Look-up'!$E$4,$V74-4,0))</f>
        <v>CID003381</v>
      </c>
      <c r="G74" s="182" t="str">
        <f ca="1">IF(C74=$X$4,IF(ISERROR($V74),"Enter smelter details","RMI"),IF(ISERROR($V74),"",OFFSET('Smelter Look-up'!$F$4,$V74-4,0)))</f>
        <v>RMI</v>
      </c>
      <c r="H74" s="183">
        <f ca="1">IF(ISERROR($V74),"",OFFSET('Smelter Look-up'!$G$4,$V74-4,0))</f>
        <v>0</v>
      </c>
      <c r="I74" s="184" t="str">
        <f ca="1">IF(ISERROR($V74),"",OFFSET('Smelter Look-up'!$H$4,$V74-4,0))</f>
        <v>Tukak Sadai</v>
      </c>
      <c r="J74" s="184" t="str">
        <f ca="1">IF(ISERROR($V74),"",OFFSET('Smelter Look-up'!$I$4,$V74-4,0))</f>
        <v>Kepulauan Bangka Belitung</v>
      </c>
      <c r="K74" s="224"/>
      <c r="L74" s="224"/>
      <c r="M74" s="224"/>
      <c r="N74" s="224"/>
      <c r="O74" s="224"/>
      <c r="P74" s="185"/>
      <c r="Q74" s="225"/>
      <c r="R74" s="182" t="str">
        <f ca="1">IF(ISERROR($V74),"",OFFSET('Smelter Look-up'!$C$4,$V74-4,0)&amp;"")</f>
        <v>PT Rajawali Rimba Perkasa</v>
      </c>
      <c r="S74" s="181" t="str">
        <f t="shared" ca="1" si="12"/>
        <v>ID</v>
      </c>
      <c r="T74" s="181" t="str">
        <f ca="1">IF(B74="","",IF(ISERROR(MATCH($J74,SorP!$B$1:$B$6279,0)),"",INDIRECT("'SorP'!$A$"&amp;MATCH($S74&amp;$J74,SorP!C:C,0))))</f>
        <v>ID-BB</v>
      </c>
      <c r="U74" s="201"/>
      <c r="V74" s="226">
        <f ca="1">IF(C74="",NA(),IF(OR(C74="Smelter not listed",C74="Smelter not yet identified"),MATCH($B74&amp;$D74,'Smelter Look-up'!$J:$J,0),MATCH($B74&amp;$C74,'Smelter Look-up'!$J:$J,0)))</f>
        <v>506</v>
      </c>
      <c r="X74" s="227">
        <f t="shared" ca="1" si="13"/>
        <v>0</v>
      </c>
      <c r="AB74" s="228" t="str">
        <f t="shared" ca="1" si="14"/>
        <v>TinPT Rajawali Rimba Perkasa</v>
      </c>
    </row>
    <row r="75" spans="1:28" s="227" customFormat="1" ht="63">
      <c r="A75" s="181" t="s">
        <v>15108</v>
      </c>
      <c r="B75" s="182" t="str">
        <f ca="1">IF(LEN(A75)=0,"",INDEX('Smelter Look-up'!$A:$A,MATCH($A75,'Smelter Look-up'!$E:$E,0)))</f>
        <v>Tin</v>
      </c>
      <c r="C75" s="186" t="str">
        <f ca="1">IF(LEN(A75)=0,"",INDEX('Smelter Look-up'!$C:$C,MATCH($A75,'Smelter Look-up'!$E:$E,0)))</f>
        <v>PT Babel Surya Alam Lestari</v>
      </c>
      <c r="D75" s="230" t="s">
        <v>15107</v>
      </c>
      <c r="E75" s="182" t="str">
        <f ca="1">IF(ISERROR($V75),"",OFFSET('Smelter Look-up'!$D$4,$V75-4,0)&amp;"")</f>
        <v>INDONESIA</v>
      </c>
      <c r="F75" s="182" t="str">
        <f ca="1">IF(ISERROR($V75),"",OFFSET('Smelter Look-up'!$E$4,$V75-4,0))</f>
        <v>CID001406</v>
      </c>
      <c r="G75" s="182" t="str">
        <f ca="1">IF(C75=$X$4,IF(ISERROR($V75),"Enter smelter details","RMI"),IF(ISERROR($V75),"",OFFSET('Smelter Look-up'!$F$4,$V75-4,0)))</f>
        <v>RMI</v>
      </c>
      <c r="H75" s="183">
        <f ca="1">IF(ISERROR($V75),"",OFFSET('Smelter Look-up'!$G$4,$V75-4,0))</f>
        <v>0</v>
      </c>
      <c r="I75" s="184" t="str">
        <f ca="1">IF(ISERROR($V75),"",OFFSET('Smelter Look-up'!$H$4,$V75-4,0))</f>
        <v>Badau</v>
      </c>
      <c r="J75" s="184" t="str">
        <f ca="1">IF(ISERROR($V75),"",OFFSET('Smelter Look-up'!$I$4,$V75-4,0))</f>
        <v>Kepulauan Bangka Belitung</v>
      </c>
      <c r="K75" s="224"/>
      <c r="L75" s="224"/>
      <c r="M75" s="224"/>
      <c r="N75" s="224"/>
      <c r="O75" s="224"/>
      <c r="P75" s="185"/>
      <c r="Q75" s="225"/>
      <c r="R75" s="182" t="str">
        <f ca="1">IF(ISERROR($V75),"",OFFSET('Smelter Look-up'!$C$4,$V75-4,0)&amp;"")</f>
        <v>PT Babel Surya Alam Lestari</v>
      </c>
      <c r="S75" s="181" t="str">
        <f t="shared" ca="1" si="12"/>
        <v>ID</v>
      </c>
      <c r="T75" s="181" t="str">
        <f ca="1">IF(B75="","",IF(ISERROR(MATCH($J75,SorP!$B$1:$B$6279,0)),"",INDIRECT("'SorP'!$A$"&amp;MATCH($S75&amp;$J75,SorP!C:C,0))))</f>
        <v>ID-BB</v>
      </c>
      <c r="U75" s="201"/>
      <c r="V75" s="226">
        <f ca="1">IF(C75="",NA(),IF(OR(C75="Smelter not listed",C75="Smelter not yet identified"),MATCH($B75&amp;$D75,'Smelter Look-up'!$J:$J,0),MATCH($B75&amp;$C75,'Smelter Look-up'!$J:$J,0)))</f>
        <v>490</v>
      </c>
      <c r="X75" s="227">
        <f t="shared" ca="1" si="13"/>
        <v>0</v>
      </c>
      <c r="AB75" s="228" t="str">
        <f t="shared" ca="1" si="14"/>
        <v>TinPT Babel Surya Alam Lestari</v>
      </c>
    </row>
    <row r="76" spans="1:28" s="227" customFormat="1" ht="88.2">
      <c r="A76" s="181" t="s">
        <v>786</v>
      </c>
      <c r="B76" s="182" t="str">
        <f ca="1">IF(LEN(A76)=0,"",INDEX('Smelter Look-up'!$A:$A,MATCH($A76,'Smelter Look-up'!$E:$E,0)))</f>
        <v>Tin</v>
      </c>
      <c r="C76" s="186" t="str">
        <f ca="1">IF(LEN(A76)=0,"",INDEX('Smelter Look-up'!$C:$C,MATCH($A76,'Smelter Look-up'!$E:$E,0)))</f>
        <v>Yunnan Chengfeng Non-ferrous Metals Co., Ltd.</v>
      </c>
      <c r="D76" s="230" t="s">
        <v>2166</v>
      </c>
      <c r="E76" s="182" t="str">
        <f ca="1">IF(ISERROR($V76),"",OFFSET('Smelter Look-up'!$D$4,$V76-4,0)&amp;"")</f>
        <v>CHINA</v>
      </c>
      <c r="F76" s="182" t="str">
        <f ca="1">IF(ISERROR($V76),"",OFFSET('Smelter Look-up'!$E$4,$V76-4,0))</f>
        <v>CID002158</v>
      </c>
      <c r="G76" s="182" t="str">
        <f ca="1">IF(C76=$X$4,IF(ISERROR($V76),"Enter smelter details","RMI"),IF(ISERROR($V76),"",OFFSET('Smelter Look-up'!$F$4,$V76-4,0)))</f>
        <v>RMI</v>
      </c>
      <c r="H76" s="183">
        <f ca="1">IF(ISERROR($V76),"",OFFSET('Smelter Look-up'!$G$4,$V76-4,0))</f>
        <v>0</v>
      </c>
      <c r="I76" s="184" t="str">
        <f ca="1">IF(ISERROR($V76),"",OFFSET('Smelter Look-up'!$H$4,$V76-4,0))</f>
        <v>Gejiu</v>
      </c>
      <c r="J76" s="184" t="str">
        <f ca="1">IF(ISERROR($V76),"",OFFSET('Smelter Look-up'!$I$4,$V76-4,0))</f>
        <v>Yunnan Sheng</v>
      </c>
      <c r="K76" s="224"/>
      <c r="L76" s="224"/>
      <c r="M76" s="224"/>
      <c r="N76" s="224"/>
      <c r="O76" s="224"/>
      <c r="P76" s="185"/>
      <c r="Q76" s="225"/>
      <c r="R76" s="182" t="str">
        <f ca="1">IF(ISERROR($V76),"",OFFSET('Smelter Look-up'!$C$4,$V76-4,0)&amp;"")</f>
        <v>Yunnan Chengfeng Non-ferrous Metals Co., Ltd.</v>
      </c>
      <c r="S76" s="181" t="str">
        <f t="shared" ca="1" si="12"/>
        <v>CN</v>
      </c>
      <c r="T76" s="181" t="str">
        <f ca="1">IF(B76="","",IF(ISERROR(MATCH($J76,SorP!$B$1:$B$6279,0)),"",INDIRECT("'SorP'!$A$"&amp;MATCH($S76&amp;$J76,SorP!C:C,0))))</f>
        <v>CN-YN</v>
      </c>
      <c r="U76" s="201"/>
      <c r="V76" s="226">
        <f ca="1">IF(C76="",NA(),IF(OR(C76="Smelter not listed",C76="Smelter not yet identified"),MATCH($B76&amp;$D76,'Smelter Look-up'!$J:$J,0),MATCH($B76&amp;$C76,'Smelter Look-up'!$J:$J,0)))</f>
        <v>543</v>
      </c>
      <c r="X76" s="227">
        <f t="shared" ca="1" si="13"/>
        <v>0</v>
      </c>
      <c r="AB76" s="228" t="str">
        <f t="shared" ca="1" si="14"/>
        <v>TinYunnan Chengfeng Non-ferrous Metals Co., Ltd.</v>
      </c>
    </row>
    <row r="77" spans="1:28" s="227" customFormat="1" ht="88.2">
      <c r="A77" s="181" t="s">
        <v>787</v>
      </c>
      <c r="B77" s="182" t="str">
        <f ca="1">IF(LEN(A77)=0,"",INDEX('Smelter Look-up'!$A:$A,MATCH($A77,'Smelter Look-up'!$E:$E,0)))</f>
        <v>Tin</v>
      </c>
      <c r="C77" s="186" t="str">
        <f ca="1">IF(LEN(A77)=0,"",INDEX('Smelter Look-up'!$C:$C,MATCH($A77,'Smelter Look-up'!$E:$E,0)))</f>
        <v>Tin Smelting Branch of Yunnan Tin Co., Ltd.</v>
      </c>
      <c r="D77" s="230" t="s">
        <v>15472</v>
      </c>
      <c r="E77" s="182" t="str">
        <f ca="1">IF(ISERROR($V77),"",OFFSET('Smelter Look-up'!$D$4,$V77-4,0)&amp;"")</f>
        <v>CHINA</v>
      </c>
      <c r="F77" s="182" t="str">
        <f ca="1">IF(ISERROR($V77),"",OFFSET('Smelter Look-up'!$E$4,$V77-4,0))</f>
        <v>CID002180</v>
      </c>
      <c r="G77" s="182" t="str">
        <f ca="1">IF(C77=$X$4,IF(ISERROR($V77),"Enter smelter details","RMI"),IF(ISERROR($V77),"",OFFSET('Smelter Look-up'!$F$4,$V77-4,0)))</f>
        <v>RMI</v>
      </c>
      <c r="H77" s="183">
        <f ca="1">IF(ISERROR($V77),"",OFFSET('Smelter Look-up'!$G$4,$V77-4,0))</f>
        <v>0</v>
      </c>
      <c r="I77" s="184" t="str">
        <f ca="1">IF(ISERROR($V77),"",OFFSET('Smelter Look-up'!$H$4,$V77-4,0))</f>
        <v>Gejiu</v>
      </c>
      <c r="J77" s="184" t="str">
        <f ca="1">IF(ISERROR($V77),"",OFFSET('Smelter Look-up'!$I$4,$V77-4,0))</f>
        <v>Yunnan Sheng</v>
      </c>
      <c r="K77" s="224"/>
      <c r="L77" s="224"/>
      <c r="M77" s="224"/>
      <c r="N77" s="224"/>
      <c r="O77" s="224"/>
      <c r="P77" s="185"/>
      <c r="Q77" s="225"/>
      <c r="R77" s="182" t="str">
        <f ca="1">IF(ISERROR($V77),"",OFFSET('Smelter Look-up'!$C$4,$V77-4,0)&amp;"")</f>
        <v>Tin Smelting Branch of Yunnan Tin Co., Ltd.</v>
      </c>
      <c r="S77" s="181" t="str">
        <f t="shared" ca="1" si="12"/>
        <v>CN</v>
      </c>
      <c r="T77" s="181" t="str">
        <f ca="1">IF(B77="","",IF(ISERROR(MATCH($J77,SorP!$B$1:$B$6279,0)),"",INDIRECT("'SorP'!$A$"&amp;MATCH($S77&amp;$J77,SorP!C:C,0))))</f>
        <v>CN-YN</v>
      </c>
      <c r="U77" s="201"/>
      <c r="V77" s="226">
        <f ca="1">IF(C77="",NA(),IF(OR(C77="Smelter not listed",C77="Smelter not yet identified"),MATCH($B77&amp;$D77,'Smelter Look-up'!$J:$J,0),MATCH($B77&amp;$C77,'Smelter Look-up'!$J:$J,0)))</f>
        <v>529</v>
      </c>
      <c r="X77" s="227">
        <f t="shared" ca="1" si="13"/>
        <v>0</v>
      </c>
      <c r="AB77" s="228" t="str">
        <f t="shared" ca="1" si="14"/>
        <v>TinTin Smelting Branch of Yunnan Tin Co., Ltd.</v>
      </c>
    </row>
    <row r="78" spans="1:28" s="227" customFormat="1" ht="63">
      <c r="A78" s="181" t="s">
        <v>1399</v>
      </c>
      <c r="B78" s="182" t="str">
        <f ca="1">IF(LEN(A78)=0,"",INDEX('Smelter Look-up'!$A:$A,MATCH($A78,'Smelter Look-up'!$E:$E,0)))</f>
        <v>Tin</v>
      </c>
      <c r="C78" s="186" t="str">
        <f ca="1">IF(LEN(A78)=0,"",INDEX('Smelter Look-up'!$C:$C,MATCH($A78,'Smelter Look-up'!$E:$E,0)))</f>
        <v>PT ATD Makmur Mandiri Jaya</v>
      </c>
      <c r="D78" s="230" t="s">
        <v>1398</v>
      </c>
      <c r="E78" s="182" t="str">
        <f ca="1">IF(ISERROR($V78),"",OFFSET('Smelter Look-up'!$D$4,$V78-4,0)&amp;"")</f>
        <v>INDONESIA</v>
      </c>
      <c r="F78" s="182" t="str">
        <f ca="1">IF(ISERROR($V78),"",OFFSET('Smelter Look-up'!$E$4,$V78-4,0))</f>
        <v>CID002503</v>
      </c>
      <c r="G78" s="182" t="str">
        <f ca="1">IF(C78=$X$4,IF(ISERROR($V78),"Enter smelter details","RMI"),IF(ISERROR($V78),"",OFFSET('Smelter Look-up'!$F$4,$V78-4,0)))</f>
        <v>RMI</v>
      </c>
      <c r="H78" s="183">
        <f ca="1">IF(ISERROR($V78),"",OFFSET('Smelter Look-up'!$G$4,$V78-4,0))</f>
        <v>0</v>
      </c>
      <c r="I78" s="184" t="str">
        <f ca="1">IF(ISERROR($V78),"",OFFSET('Smelter Look-up'!$H$4,$V78-4,0))</f>
        <v>Sungailiat</v>
      </c>
      <c r="J78" s="184" t="str">
        <f ca="1">IF(ISERROR($V78),"",OFFSET('Smelter Look-up'!$I$4,$V78-4,0))</f>
        <v>Kepulauan Bangka Belitung</v>
      </c>
      <c r="K78" s="224"/>
      <c r="L78" s="224"/>
      <c r="M78" s="224"/>
      <c r="N78" s="224"/>
      <c r="O78" s="224"/>
      <c r="P78" s="185"/>
      <c r="Q78" s="225"/>
      <c r="R78" s="182" t="str">
        <f ca="1">IF(ISERROR($V78),"",OFFSET('Smelter Look-up'!$C$4,$V78-4,0)&amp;"")</f>
        <v>PT ATD Makmur Mandiri Jaya</v>
      </c>
      <c r="S78" s="181" t="str">
        <f t="shared" ca="1" si="12"/>
        <v>ID</v>
      </c>
      <c r="T78" s="181" t="str">
        <f ca="1">IF(B78="","",IF(ISERROR(MATCH($J78,SorP!$B$1:$B$6279,0)),"",INDIRECT("'SorP'!$A$"&amp;MATCH($S78&amp;$J78,SorP!C:C,0))))</f>
        <v>ID-BB</v>
      </c>
      <c r="U78" s="201"/>
      <c r="V78" s="226">
        <f ca="1">IF(C78="",NA(),IF(OR(C78="Smelter not listed",C78="Smelter not yet identified"),MATCH($B78&amp;$D78,'Smelter Look-up'!$J:$J,0),MATCH($B78&amp;$C78,'Smelter Look-up'!$J:$J,0)))</f>
        <v>488</v>
      </c>
      <c r="X78" s="227">
        <f t="shared" ca="1" si="13"/>
        <v>0</v>
      </c>
      <c r="AB78" s="228" t="str">
        <f t="shared" ca="1" si="14"/>
        <v>TinPT ATD Makmur Mandiri Jaya</v>
      </c>
    </row>
    <row r="79" spans="1:28" s="227" customFormat="1" ht="37.799999999999997">
      <c r="A79" s="181" t="s">
        <v>15471</v>
      </c>
      <c r="B79" s="182" t="str">
        <f ca="1">IF(LEN(A79)=0,"",INDEX('Smelter Look-up'!$A:$A,MATCH($A79,'Smelter Look-up'!$E:$E,0)))</f>
        <v>Tin</v>
      </c>
      <c r="C79" s="186" t="str">
        <f ca="1">IF(LEN(A79)=0,"",INDEX('Smelter Look-up'!$C:$C,MATCH($A79,'Smelter Look-up'!$E:$E,0)))</f>
        <v>PT Bukit Timah</v>
      </c>
      <c r="D79" s="230" t="s">
        <v>15470</v>
      </c>
      <c r="E79" s="182" t="str">
        <f ca="1">IF(ISERROR($V79),"",OFFSET('Smelter Look-up'!$D$4,$V79-4,0)&amp;"")</f>
        <v>INDONESIA</v>
      </c>
      <c r="F79" s="182" t="str">
        <f ca="1">IF(ISERROR($V79),"",OFFSET('Smelter Look-up'!$E$4,$V79-4,0))</f>
        <v>CID001428</v>
      </c>
      <c r="G79" s="182" t="str">
        <f ca="1">IF(C79=$X$4,IF(ISERROR($V79),"Enter smelter details","RMI"),IF(ISERROR($V79),"",OFFSET('Smelter Look-up'!$F$4,$V79-4,0)))</f>
        <v>RMI</v>
      </c>
      <c r="H79" s="183">
        <f ca="1">IF(ISERROR($V79),"",OFFSET('Smelter Look-up'!$G$4,$V79-4,0))</f>
        <v>0</v>
      </c>
      <c r="I79" s="184" t="str">
        <f ca="1">IF(ISERROR($V79),"",OFFSET('Smelter Look-up'!$H$4,$V79-4,0))</f>
        <v>Pangkal Pinang</v>
      </c>
      <c r="J79" s="184" t="str">
        <f ca="1">IF(ISERROR($V79),"",OFFSET('Smelter Look-up'!$I$4,$V79-4,0))</f>
        <v>Kepulauan Bangka Belitung</v>
      </c>
      <c r="K79" s="224"/>
      <c r="L79" s="224"/>
      <c r="M79" s="224"/>
      <c r="N79" s="224"/>
      <c r="O79" s="224"/>
      <c r="P79" s="185"/>
      <c r="Q79" s="225"/>
      <c r="R79" s="182" t="str">
        <f ca="1">IF(ISERROR($V79),"",OFFSET('Smelter Look-up'!$C$4,$V79-4,0)&amp;"")</f>
        <v>PT Bukit Timah</v>
      </c>
      <c r="S79" s="181" t="str">
        <f t="shared" ca="1" si="12"/>
        <v>ID</v>
      </c>
      <c r="T79" s="181" t="str">
        <f ca="1">IF(B79="","",IF(ISERROR(MATCH($J79,SorP!$B$1:$B$6279,0)),"",INDIRECT("'SorP'!$A$"&amp;MATCH($S79&amp;$J79,SorP!C:C,0))))</f>
        <v>ID-BB</v>
      </c>
      <c r="U79" s="201"/>
      <c r="V79" s="226">
        <f ca="1">IF(C79="",NA(),IF(OR(C79="Smelter not listed",C79="Smelter not yet identified"),MATCH($B79&amp;$D79,'Smelter Look-up'!$J:$J,0),MATCH($B79&amp;$C79,'Smelter Look-up'!$J:$J,0)))</f>
        <v>495</v>
      </c>
      <c r="X79" s="227">
        <f t="shared" ca="1" si="13"/>
        <v>0</v>
      </c>
      <c r="AB79" s="228" t="str">
        <f t="shared" ca="1" si="14"/>
        <v>TinPT Bukit Timah</v>
      </c>
    </row>
    <row r="80" spans="1:28" s="227" customFormat="1" ht="63">
      <c r="A80" s="181" t="s">
        <v>15493</v>
      </c>
      <c r="B80" s="182" t="str">
        <f ca="1">IF(LEN(A80)=0,"",INDEX('Smelter Look-up'!$A:$A,MATCH($A80,'Smelter Look-up'!$E:$E,0)))</f>
        <v>Tin</v>
      </c>
      <c r="C80" s="186" t="str">
        <f ca="1">IF(LEN(A80)=0,"",INDEX('Smelter Look-up'!$C:$C,MATCH($A80,'Smelter Look-up'!$E:$E,0)))</f>
        <v>PT Sariwiguna Binasentosa</v>
      </c>
      <c r="D80" s="230" t="s">
        <v>15492</v>
      </c>
      <c r="E80" s="182" t="str">
        <f ca="1">IF(ISERROR($V80),"",OFFSET('Smelter Look-up'!$D$4,$V80-4,0)&amp;"")</f>
        <v>INDONESIA</v>
      </c>
      <c r="F80" s="182" t="str">
        <f ca="1">IF(ISERROR($V80),"",OFFSET('Smelter Look-up'!$E$4,$V80-4,0))</f>
        <v>CID001463</v>
      </c>
      <c r="G80" s="182" t="str">
        <f ca="1">IF(C80=$X$4,IF(ISERROR($V80),"Enter smelter details","RMI"),IF(ISERROR($V80),"",OFFSET('Smelter Look-up'!$F$4,$V80-4,0)))</f>
        <v>RMI</v>
      </c>
      <c r="H80" s="183">
        <f ca="1">IF(ISERROR($V80),"",OFFSET('Smelter Look-up'!$G$4,$V80-4,0))</f>
        <v>0</v>
      </c>
      <c r="I80" s="184" t="str">
        <f ca="1">IF(ISERROR($V80),"",OFFSET('Smelter Look-up'!$H$4,$V80-4,0))</f>
        <v>Pangkal Pinang</v>
      </c>
      <c r="J80" s="184" t="str">
        <f ca="1">IF(ISERROR($V80),"",OFFSET('Smelter Look-up'!$I$4,$V80-4,0))</f>
        <v>Kepulauan Bangka Belitung</v>
      </c>
      <c r="K80" s="224"/>
      <c r="L80" s="224"/>
      <c r="M80" s="224"/>
      <c r="N80" s="224"/>
      <c r="O80" s="224"/>
      <c r="P80" s="185"/>
      <c r="Q80" s="225"/>
      <c r="R80" s="182" t="str">
        <f ca="1">IF(ISERROR($V80),"",OFFSET('Smelter Look-up'!$C$4,$V80-4,0)&amp;"")</f>
        <v>PT Sariwiguna Binasentosa</v>
      </c>
      <c r="S80" s="181" t="str">
        <f t="shared" ca="1" si="12"/>
        <v>ID</v>
      </c>
      <c r="T80" s="181" t="str">
        <f ca="1">IF(B80="","",IF(ISERROR(MATCH($J80,SorP!$B$1:$B$6279,0)),"",INDIRECT("'SorP'!$A$"&amp;MATCH($S80&amp;$J80,SorP!C:C,0))))</f>
        <v>ID-BB</v>
      </c>
      <c r="U80" s="201"/>
      <c r="V80" s="226">
        <f ca="1">IF(C80="",NA(),IF(OR(C80="Smelter not listed",C80="Smelter not yet identified"),MATCH($B80&amp;$D80,'Smelter Look-up'!$J:$J,0),MATCH($B80&amp;$C80,'Smelter Look-up'!$J:$J,0)))</f>
        <v>508</v>
      </c>
      <c r="X80" s="227">
        <f t="shared" ca="1" si="13"/>
        <v>0</v>
      </c>
      <c r="AB80" s="228" t="str">
        <f t="shared" ca="1" si="14"/>
        <v>TinPT Sariwiguna Binasentosa</v>
      </c>
    </row>
    <row r="81" spans="1:28" s="227" customFormat="1" ht="50.4">
      <c r="A81" s="181" t="s">
        <v>15479</v>
      </c>
      <c r="B81" s="182" t="str">
        <f ca="1">IF(LEN(A81)=0,"",INDEX('Smelter Look-up'!$A:$A,MATCH($A81,'Smelter Look-up'!$E:$E,0)))</f>
        <v>Tin</v>
      </c>
      <c r="C81" s="186" t="str">
        <f ca="1">IF(LEN(A81)=0,"",INDEX('Smelter Look-up'!$C:$C,MATCH($A81,'Smelter Look-up'!$E:$E,0)))</f>
        <v>PT Babel Inti Perkasa</v>
      </c>
      <c r="D81" s="230" t="s">
        <v>15478</v>
      </c>
      <c r="E81" s="182" t="str">
        <f ca="1">IF(ISERROR($V81),"",OFFSET('Smelter Look-up'!$D$4,$V81-4,0)&amp;"")</f>
        <v>INDONESIA</v>
      </c>
      <c r="F81" s="182" t="str">
        <f ca="1">IF(ISERROR($V81),"",OFFSET('Smelter Look-up'!$E$4,$V81-4,0))</f>
        <v>CID001402</v>
      </c>
      <c r="G81" s="182" t="str">
        <f ca="1">IF(C81=$X$4,IF(ISERROR($V81),"Enter smelter details","RMI"),IF(ISERROR($V81),"",OFFSET('Smelter Look-up'!$F$4,$V81-4,0)))</f>
        <v>RMI</v>
      </c>
      <c r="H81" s="183">
        <f ca="1">IF(ISERROR($V81),"",OFFSET('Smelter Look-up'!$G$4,$V81-4,0))</f>
        <v>0</v>
      </c>
      <c r="I81" s="184" t="str">
        <f ca="1">IF(ISERROR($V81),"",OFFSET('Smelter Look-up'!$H$4,$V81-4,0))</f>
        <v>Lintang</v>
      </c>
      <c r="J81" s="184" t="str">
        <f ca="1">IF(ISERROR($V81),"",OFFSET('Smelter Look-up'!$I$4,$V81-4,0))</f>
        <v>Kepulauan Bangka Belitung</v>
      </c>
      <c r="K81" s="224"/>
      <c r="L81" s="224"/>
      <c r="M81" s="224"/>
      <c r="N81" s="224"/>
      <c r="O81" s="224"/>
      <c r="P81" s="185"/>
      <c r="Q81" s="225"/>
      <c r="R81" s="182" t="str">
        <f ca="1">IF(ISERROR($V81),"",OFFSET('Smelter Look-up'!$C$4,$V81-4,0)&amp;"")</f>
        <v>PT Babel Inti Perkasa</v>
      </c>
      <c r="S81" s="181" t="str">
        <f t="shared" ca="1" si="12"/>
        <v>ID</v>
      </c>
      <c r="T81" s="181" t="str">
        <f ca="1">IF(B81="","",IF(ISERROR(MATCH($J81,SorP!$B$1:$B$6279,0)),"",INDIRECT("'SorP'!$A$"&amp;MATCH($S81&amp;$J81,SorP!C:C,0))))</f>
        <v>ID-BB</v>
      </c>
      <c r="U81" s="201"/>
      <c r="V81" s="226">
        <f ca="1">IF(C81="",NA(),IF(OR(C81="Smelter not listed",C81="Smelter not yet identified"),MATCH($B81&amp;$D81,'Smelter Look-up'!$J:$J,0),MATCH($B81&amp;$C81,'Smelter Look-up'!$J:$J,0)))</f>
        <v>489</v>
      </c>
      <c r="X81" s="227">
        <f t="shared" ca="1" si="13"/>
        <v>0</v>
      </c>
      <c r="AB81" s="228" t="str">
        <f t="shared" ca="1" si="14"/>
        <v>TinPT Babel Inti Perkasa</v>
      </c>
    </row>
    <row r="82" spans="1:28" s="227" customFormat="1" ht="50.4">
      <c r="A82" s="181" t="s">
        <v>15484</v>
      </c>
      <c r="B82" s="182" t="str">
        <f ca="1">IF(LEN(A82)=0,"",INDEX('Smelter Look-up'!$A:$A,MATCH($A82,'Smelter Look-up'!$E:$E,0)))</f>
        <v>Tin</v>
      </c>
      <c r="C82" s="186" t="str">
        <f ca="1">IF(LEN(A82)=0,"",INDEX('Smelter Look-up'!$C:$C,MATCH($A82,'Smelter Look-up'!$E:$E,0)))</f>
        <v>PT Cipta Persada Mulia</v>
      </c>
      <c r="D82" s="230" t="s">
        <v>15483</v>
      </c>
      <c r="E82" s="182" t="str">
        <f ca="1">IF(ISERROR($V82),"",OFFSET('Smelter Look-up'!$D$4,$V82-4,0)&amp;"")</f>
        <v>INDONESIA</v>
      </c>
      <c r="F82" s="182" t="str">
        <f ca="1">IF(ISERROR($V82),"",OFFSET('Smelter Look-up'!$E$4,$V82-4,0))</f>
        <v>CID002696</v>
      </c>
      <c r="G82" s="182" t="str">
        <f ca="1">IF(C82=$X$4,IF(ISERROR($V82),"Enter smelter details","RMI"),IF(ISERROR($V82),"",OFFSET('Smelter Look-up'!$F$4,$V82-4,0)))</f>
        <v>RMI</v>
      </c>
      <c r="H82" s="183">
        <f ca="1">IF(ISERROR($V82),"",OFFSET('Smelter Look-up'!$G$4,$V82-4,0))</f>
        <v>0</v>
      </c>
      <c r="I82" s="184" t="str">
        <f ca="1">IF(ISERROR($V82),"",OFFSET('Smelter Look-up'!$H$4,$V82-4,0))</f>
        <v>Batam</v>
      </c>
      <c r="J82" s="184" t="str">
        <f ca="1">IF(ISERROR($V82),"",OFFSET('Smelter Look-up'!$I$4,$V82-4,0))</f>
        <v>Kepulauan Riau</v>
      </c>
      <c r="K82" s="224"/>
      <c r="L82" s="224"/>
      <c r="M82" s="224"/>
      <c r="N82" s="224"/>
      <c r="O82" s="224"/>
      <c r="P82" s="185"/>
      <c r="Q82" s="225"/>
      <c r="R82" s="182" t="str">
        <f ca="1">IF(ISERROR($V82),"",OFFSET('Smelter Look-up'!$C$4,$V82-4,0)&amp;"")</f>
        <v>PT Cipta Persada Mulia</v>
      </c>
      <c r="S82" s="181" t="str">
        <f t="shared" ca="1" si="12"/>
        <v>ID</v>
      </c>
      <c r="T82" s="181" t="str">
        <f ca="1">IF(B82="","",IF(ISERROR(MATCH($J82,SorP!$B$1:$B$6279,0)),"",INDIRECT("'SorP'!$A$"&amp;MATCH($S82&amp;$J82,SorP!C:C,0))))</f>
        <v>ID-KR</v>
      </c>
      <c r="U82" s="201"/>
      <c r="V82" s="226">
        <f ca="1">IF(C82="",NA(),IF(OR(C82="Smelter not listed",C82="Smelter not yet identified"),MATCH($B82&amp;$D82,'Smelter Look-up'!$J:$J,0),MATCH($B82&amp;$C82,'Smelter Look-up'!$J:$J,0)))</f>
        <v>496</v>
      </c>
      <c r="X82" s="227">
        <f t="shared" ca="1" si="13"/>
        <v>0</v>
      </c>
      <c r="AB82" s="228" t="str">
        <f t="shared" ca="1" si="14"/>
        <v>TinPT Cipta Persada Mulia</v>
      </c>
    </row>
    <row r="83" spans="1:28" s="227" customFormat="1" ht="88.2">
      <c r="A83" s="181" t="s">
        <v>768</v>
      </c>
      <c r="B83" s="182" t="str">
        <f ca="1">IF(LEN(A83)=0,"",INDEX('Smelter Look-up'!$A:$A,MATCH($A83,'Smelter Look-up'!$E:$E,0)))</f>
        <v>Tin</v>
      </c>
      <c r="C83" s="186" t="str">
        <f ca="1">IF(LEN(A83)=0,"",INDEX('Smelter Look-up'!$C:$C,MATCH($A83,'Smelter Look-up'!$E:$E,0)))</f>
        <v>Gejiu Zili Mining And Metallurgy Co., Ltd.</v>
      </c>
      <c r="D83" s="230" t="s">
        <v>1772</v>
      </c>
      <c r="E83" s="182" t="str">
        <f ca="1">IF(ISERROR($V83),"",OFFSET('Smelter Look-up'!$D$4,$V83-4,0)&amp;"")</f>
        <v>CHINA</v>
      </c>
      <c r="F83" s="182" t="str">
        <f ca="1">IF(ISERROR($V83),"",OFFSET('Smelter Look-up'!$E$4,$V83-4,0))</f>
        <v>CID000555</v>
      </c>
      <c r="G83" s="182" t="str">
        <f ca="1">IF(C83=$X$4,IF(ISERROR($V83),"Enter smelter details","RMI"),IF(ISERROR($V83),"",OFFSET('Smelter Look-up'!$F$4,$V83-4,0)))</f>
        <v>RMI</v>
      </c>
      <c r="H83" s="183">
        <f ca="1">IF(ISERROR($V83),"",OFFSET('Smelter Look-up'!$G$4,$V83-4,0))</f>
        <v>0</v>
      </c>
      <c r="I83" s="184" t="str">
        <f ca="1">IF(ISERROR($V83),"",OFFSET('Smelter Look-up'!$H$4,$V83-4,0))</f>
        <v>Gejiu</v>
      </c>
      <c r="J83" s="184" t="str">
        <f ca="1">IF(ISERROR($V83),"",OFFSET('Smelter Look-up'!$I$4,$V83-4,0))</f>
        <v>Yunnan Sheng</v>
      </c>
      <c r="K83" s="224"/>
      <c r="L83" s="224"/>
      <c r="M83" s="224"/>
      <c r="N83" s="224"/>
      <c r="O83" s="224"/>
      <c r="P83" s="185"/>
      <c r="Q83" s="225"/>
      <c r="R83" s="182" t="str">
        <f ca="1">IF(ISERROR($V83),"",OFFSET('Smelter Look-up'!$C$4,$V83-4,0)&amp;"")</f>
        <v>Gejiu Zili Mining And Metallurgy Co., Ltd.</v>
      </c>
      <c r="S83" s="181" t="str">
        <f t="shared" ca="1" si="12"/>
        <v>CN</v>
      </c>
      <c r="T83" s="181" t="str">
        <f ca="1">IF(B83="","",IF(ISERROR(MATCH($J83,SorP!$B$1:$B$6279,0)),"",INDIRECT("'SorP'!$A$"&amp;MATCH($S83&amp;$J83,SorP!C:C,0))))</f>
        <v>CN-YN</v>
      </c>
      <c r="U83" s="201"/>
      <c r="V83" s="226">
        <f ca="1">IF(C83="",NA(),IF(OR(C83="Smelter not listed",C83="Smelter not yet identified"),MATCH($B83&amp;$D83,'Smelter Look-up'!$J:$J,0),MATCH($B83&amp;$C83,'Smelter Look-up'!$J:$J,0)))</f>
        <v>439</v>
      </c>
      <c r="X83" s="227">
        <f t="shared" ca="1" si="13"/>
        <v>0</v>
      </c>
      <c r="AB83" s="228" t="str">
        <f t="shared" ca="1" si="14"/>
        <v>TinGejiu Zili Mining And Metallurgy Co., Ltd.</v>
      </c>
    </row>
    <row r="84" spans="1:28" s="227" customFormat="1" ht="37.799999999999997">
      <c r="A84" s="181" t="s">
        <v>13867</v>
      </c>
      <c r="B84" s="182" t="str">
        <f ca="1">IF(LEN(A84)=0,"",INDEX('Smelter Look-up'!$A:$A,MATCH($A84,'Smelter Look-up'!$E:$E,0)))</f>
        <v>Tin</v>
      </c>
      <c r="C84" s="186" t="str">
        <f ca="1">IF(LEN(A84)=0,"",INDEX('Smelter Look-up'!$C:$C,MATCH($A84,'Smelter Look-up'!$E:$E,0)))</f>
        <v>Luna Smelter, Ltd.</v>
      </c>
      <c r="D84" s="230" t="s">
        <v>13852</v>
      </c>
      <c r="E84" s="182" t="str">
        <f ca="1">IF(ISERROR($V84),"",OFFSET('Smelter Look-up'!$D$4,$V84-4,0)&amp;"")</f>
        <v>RWANDA</v>
      </c>
      <c r="F84" s="182" t="str">
        <f ca="1">IF(ISERROR($V84),"",OFFSET('Smelter Look-up'!$E$4,$V84-4,0))</f>
        <v>CID003387</v>
      </c>
      <c r="G84" s="182" t="str">
        <f ca="1">IF(C84=$X$4,IF(ISERROR($V84),"Enter smelter details","RMI"),IF(ISERROR($V84),"",OFFSET('Smelter Look-up'!$F$4,$V84-4,0)))</f>
        <v>RMI</v>
      </c>
      <c r="H84" s="183">
        <f ca="1">IF(ISERROR($V84),"",OFFSET('Smelter Look-up'!$G$4,$V84-4,0))</f>
        <v>0</v>
      </c>
      <c r="I84" s="184" t="str">
        <f ca="1">IF(ISERROR($V84),"",OFFSET('Smelter Look-up'!$H$4,$V84-4,0))</f>
        <v>Kigali</v>
      </c>
      <c r="J84" s="184" t="str">
        <f ca="1">IF(ISERROR($V84),"",OFFSET('Smelter Look-up'!$I$4,$V84-4,0))</f>
        <v>City of Kigali</v>
      </c>
      <c r="K84" s="224"/>
      <c r="L84" s="224"/>
      <c r="M84" s="224"/>
      <c r="N84" s="224"/>
      <c r="O84" s="224"/>
      <c r="P84" s="185"/>
      <c r="Q84" s="225"/>
      <c r="R84" s="182" t="str">
        <f ca="1">IF(ISERROR($V84),"",OFFSET('Smelter Look-up'!$C$4,$V84-4,0)&amp;"")</f>
        <v>Luna Smelter, Ltd.</v>
      </c>
      <c r="S84" s="181" t="str">
        <f t="shared" ca="1" si="12"/>
        <v>RW</v>
      </c>
      <c r="T84" s="181" t="str">
        <f ca="1">IF(B84="","",IF(ISERROR(MATCH($J84,SorP!$B$1:$B$6279,0)),"",INDIRECT("'SorP'!$A$"&amp;MATCH($S84&amp;$J84,SorP!C:C,0))))</f>
        <v>RW-01</v>
      </c>
      <c r="U84" s="201"/>
      <c r="V84" s="226">
        <f ca="1">IF(C84="",NA(),IF(OR(C84="Smelter not listed",C84="Smelter not yet identified"),MATCH($B84&amp;$D84,'Smelter Look-up'!$J:$J,0),MATCH($B84&amp;$C84,'Smelter Look-up'!$J:$J,0)))</f>
        <v>456</v>
      </c>
      <c r="X84" s="227">
        <f t="shared" ca="1" si="13"/>
        <v>0</v>
      </c>
      <c r="AB84" s="228" t="str">
        <f t="shared" ca="1" si="14"/>
        <v>TinLuna Smelter, Ltd.</v>
      </c>
    </row>
    <row r="85" spans="1:28" s="227" customFormat="1" ht="50.4">
      <c r="A85" s="181" t="s">
        <v>15112</v>
      </c>
      <c r="B85" s="182" t="str">
        <f ca="1">IF(LEN(A85)=0,"",INDEX('Smelter Look-up'!$A:$A,MATCH($A85,'Smelter Look-up'!$E:$E,0)))</f>
        <v>Tin</v>
      </c>
      <c r="C85" s="186" t="str">
        <f ca="1">IF(LEN(A85)=0,"",INDEX('Smelter Look-up'!$C:$C,MATCH($A85,'Smelter Look-up'!$E:$E,0)))</f>
        <v>PT Prima Timah Utama</v>
      </c>
      <c r="D85" s="230" t="s">
        <v>15111</v>
      </c>
      <c r="E85" s="182" t="str">
        <f ca="1">IF(ISERROR($V85),"",OFFSET('Smelter Look-up'!$D$4,$V85-4,0)&amp;"")</f>
        <v>INDONESIA</v>
      </c>
      <c r="F85" s="182" t="str">
        <f ca="1">IF(ISERROR($V85),"",OFFSET('Smelter Look-up'!$E$4,$V85-4,0))</f>
        <v>CID001458</v>
      </c>
      <c r="G85" s="182" t="str">
        <f ca="1">IF(C85=$X$4,IF(ISERROR($V85),"Enter smelter details","RMI"),IF(ISERROR($V85),"",OFFSET('Smelter Look-up'!$F$4,$V85-4,0)))</f>
        <v>RMI</v>
      </c>
      <c r="H85" s="183">
        <f ca="1">IF(ISERROR($V85),"",OFFSET('Smelter Look-up'!$G$4,$V85-4,0))</f>
        <v>0</v>
      </c>
      <c r="I85" s="184" t="str">
        <f ca="1">IF(ISERROR($V85),"",OFFSET('Smelter Look-up'!$H$4,$V85-4,0))</f>
        <v>Pangkal Pinang</v>
      </c>
      <c r="J85" s="184" t="str">
        <f ca="1">IF(ISERROR($V85),"",OFFSET('Smelter Look-up'!$I$4,$V85-4,0))</f>
        <v>Kepulauan Bangka Belitung</v>
      </c>
      <c r="K85" s="224"/>
      <c r="L85" s="224"/>
      <c r="M85" s="224"/>
      <c r="N85" s="224"/>
      <c r="O85" s="224"/>
      <c r="P85" s="185"/>
      <c r="Q85" s="225"/>
      <c r="R85" s="182" t="str">
        <f ca="1">IF(ISERROR($V85),"",OFFSET('Smelter Look-up'!$C$4,$V85-4,0)&amp;"")</f>
        <v>PT Prima Timah Utama</v>
      </c>
      <c r="S85" s="181" t="str">
        <f t="shared" ca="1" si="12"/>
        <v>ID</v>
      </c>
      <c r="T85" s="181" t="str">
        <f ca="1">IF(B85="","",IF(ISERROR(MATCH($J85,SorP!$B$1:$B$6279,0)),"",INDIRECT("'SorP'!$A$"&amp;MATCH($S85&amp;$J85,SorP!C:C,0))))</f>
        <v>ID-BB</v>
      </c>
      <c r="U85" s="201"/>
      <c r="V85" s="226">
        <f ca="1">IF(C85="",NA(),IF(OR(C85="Smelter not listed",C85="Smelter not yet identified"),MATCH($B85&amp;$D85,'Smelter Look-up'!$J:$J,0),MATCH($B85&amp;$C85,'Smelter Look-up'!$J:$J,0)))</f>
        <v>504</v>
      </c>
      <c r="X85" s="227">
        <f t="shared" ca="1" si="13"/>
        <v>0</v>
      </c>
      <c r="AB85" s="228" t="str">
        <f t="shared" ca="1" si="14"/>
        <v>TinPT Prima Timah Utama</v>
      </c>
    </row>
    <row r="86" spans="1:28" s="227" customFormat="1" ht="50.4">
      <c r="A86" s="181" t="s">
        <v>15116</v>
      </c>
      <c r="B86" s="182" t="str">
        <f ca="1">IF(LEN(A86)=0,"",INDEX('Smelter Look-up'!$A:$A,MATCH($A86,'Smelter Look-up'!$E:$E,0)))</f>
        <v>Tin</v>
      </c>
      <c r="C86" s="186" t="str">
        <f ca="1">IF(LEN(A86)=0,"",INDEX('Smelter Look-up'!$C:$C,MATCH($A86,'Smelter Look-up'!$E:$E,0)))</f>
        <v>PT Stanindo Inti Perkasa</v>
      </c>
      <c r="D86" s="230" t="s">
        <v>15115</v>
      </c>
      <c r="E86" s="182" t="str">
        <f ca="1">IF(ISERROR($V86),"",OFFSET('Smelter Look-up'!$D$4,$V86-4,0)&amp;"")</f>
        <v>INDONESIA</v>
      </c>
      <c r="F86" s="182" t="str">
        <f ca="1">IF(ISERROR($V86),"",OFFSET('Smelter Look-up'!$E$4,$V86-4,0))</f>
        <v>CID001468</v>
      </c>
      <c r="G86" s="182" t="str">
        <f ca="1">IF(C86=$X$4,IF(ISERROR($V86),"Enter smelter details","RMI"),IF(ISERROR($V86),"",OFFSET('Smelter Look-up'!$F$4,$V86-4,0)))</f>
        <v>RMI</v>
      </c>
      <c r="H86" s="183">
        <f ca="1">IF(ISERROR($V86),"",OFFSET('Smelter Look-up'!$G$4,$V86-4,0))</f>
        <v>0</v>
      </c>
      <c r="I86" s="184" t="str">
        <f ca="1">IF(ISERROR($V86),"",OFFSET('Smelter Look-up'!$H$4,$V86-4,0))</f>
        <v>Pangkal Pinang</v>
      </c>
      <c r="J86" s="184" t="str">
        <f ca="1">IF(ISERROR($V86),"",OFFSET('Smelter Look-up'!$I$4,$V86-4,0))</f>
        <v>Kepulauan Bangka Belitung</v>
      </c>
      <c r="K86" s="224"/>
      <c r="L86" s="224"/>
      <c r="M86" s="224"/>
      <c r="N86" s="224"/>
      <c r="O86" s="224"/>
      <c r="P86" s="185"/>
      <c r="Q86" s="225"/>
      <c r="R86" s="182" t="str">
        <f ca="1">IF(ISERROR($V86),"",OFFSET('Smelter Look-up'!$C$4,$V86-4,0)&amp;"")</f>
        <v>PT Stanindo Inti Perkasa</v>
      </c>
      <c r="S86" s="181" t="str">
        <f t="shared" ca="1" si="12"/>
        <v>ID</v>
      </c>
      <c r="T86" s="181" t="str">
        <f ca="1">IF(B86="","",IF(ISERROR(MATCH($J86,SorP!$B$1:$B$6279,0)),"",INDIRECT("'SorP'!$A$"&amp;MATCH($S86&amp;$J86,SorP!C:C,0))))</f>
        <v>ID-BB</v>
      </c>
      <c r="U86" s="201"/>
      <c r="V86" s="226">
        <f ca="1">IF(C86="",NA(),IF(OR(C86="Smelter not listed",C86="Smelter not yet identified"),MATCH($B86&amp;$D86,'Smelter Look-up'!$J:$J,0),MATCH($B86&amp;$C86,'Smelter Look-up'!$J:$J,0)))</f>
        <v>509</v>
      </c>
      <c r="X86" s="227">
        <f t="shared" ca="1" si="13"/>
        <v>0</v>
      </c>
      <c r="AB86" s="228" t="str">
        <f t="shared" ca="1" si="14"/>
        <v>TinPT Stanindo Inti Perkasa</v>
      </c>
    </row>
    <row r="87" spans="1:28" s="227" customFormat="1" ht="50.4">
      <c r="A87" s="181" t="s">
        <v>15120</v>
      </c>
      <c r="B87" s="182" t="str">
        <f ca="1">IF(LEN(A87)=0,"",INDEX('Smelter Look-up'!$A:$A,MATCH($A87,'Smelter Look-up'!$E:$E,0)))</f>
        <v>Tin</v>
      </c>
      <c r="C87" s="186" t="str">
        <f ca="1">IF(LEN(A87)=0,"",INDEX('Smelter Look-up'!$C:$C,MATCH($A87,'Smelter Look-up'!$E:$E,0)))</f>
        <v>PT Tinindo Inter Nusa</v>
      </c>
      <c r="D87" s="230" t="s">
        <v>15119</v>
      </c>
      <c r="E87" s="182" t="str">
        <f ca="1">IF(ISERROR($V87),"",OFFSET('Smelter Look-up'!$D$4,$V87-4,0)&amp;"")</f>
        <v>INDONESIA</v>
      </c>
      <c r="F87" s="182" t="str">
        <f ca="1">IF(ISERROR($V87),"",OFFSET('Smelter Look-up'!$E$4,$V87-4,0))</f>
        <v>CID001490</v>
      </c>
      <c r="G87" s="182" t="str">
        <f ca="1">IF(C87=$X$4,IF(ISERROR($V87),"Enter smelter details","RMI"),IF(ISERROR($V87),"",OFFSET('Smelter Look-up'!$F$4,$V87-4,0)))</f>
        <v>RMI</v>
      </c>
      <c r="H87" s="183">
        <f ca="1">IF(ISERROR($V87),"",OFFSET('Smelter Look-up'!$G$4,$V87-4,0))</f>
        <v>0</v>
      </c>
      <c r="I87" s="184" t="str">
        <f ca="1">IF(ISERROR($V87),"",OFFSET('Smelter Look-up'!$H$4,$V87-4,0))</f>
        <v>Pangkal Pinang</v>
      </c>
      <c r="J87" s="184" t="str">
        <f ca="1">IF(ISERROR($V87),"",OFFSET('Smelter Look-up'!$I$4,$V87-4,0))</f>
        <v>Kepulauan Bangka Belitung</v>
      </c>
      <c r="K87" s="224"/>
      <c r="L87" s="224"/>
      <c r="M87" s="224"/>
      <c r="N87" s="224"/>
      <c r="O87" s="224"/>
      <c r="P87" s="185"/>
      <c r="Q87" s="225"/>
      <c r="R87" s="182" t="str">
        <f ca="1">IF(ISERROR($V87),"",OFFSET('Smelter Look-up'!$C$4,$V87-4,0)&amp;"")</f>
        <v>PT Tinindo Inter Nusa</v>
      </c>
      <c r="S87" s="181" t="str">
        <f t="shared" ca="1" si="12"/>
        <v>ID</v>
      </c>
      <c r="T87" s="181" t="str">
        <f ca="1">IF(B87="","",IF(ISERROR(MATCH($J87,SorP!$B$1:$B$6279,0)),"",INDIRECT("'SorP'!$A$"&amp;MATCH($S87&amp;$J87,SorP!C:C,0))))</f>
        <v>ID-BB</v>
      </c>
      <c r="U87" s="201"/>
      <c r="V87" s="226">
        <f ca="1">IF(C87="",NA(),IF(OR(C87="Smelter not listed",C87="Smelter not yet identified"),MATCH($B87&amp;$D87,'Smelter Look-up'!$J:$J,0),MATCH($B87&amp;$C87,'Smelter Look-up'!$J:$J,0)))</f>
        <v>515</v>
      </c>
      <c r="X87" s="227">
        <f t="shared" ca="1" si="13"/>
        <v>0</v>
      </c>
      <c r="AB87" s="228" t="str">
        <f t="shared" ca="1" si="14"/>
        <v>TinPT Tinindo Inter Nusa</v>
      </c>
    </row>
    <row r="88" spans="1:28" s="227" customFormat="1" ht="50.4">
      <c r="A88" s="181" t="s">
        <v>1781</v>
      </c>
      <c r="B88" s="182" t="str">
        <f ca="1">IF(LEN(A88)=0,"",INDEX('Smelter Look-up'!$A:$A,MATCH($A88,'Smelter Look-up'!$E:$E,0)))</f>
        <v>Tin</v>
      </c>
      <c r="C88" s="186" t="str">
        <f ca="1">IF(LEN(A88)=0,"",INDEX('Smelter Look-up'!$C:$C,MATCH($A88,'Smelter Look-up'!$E:$E,0)))</f>
        <v>Metallic Resources, Inc.</v>
      </c>
      <c r="D88" s="230" t="s">
        <v>2149</v>
      </c>
      <c r="E88" s="182" t="str">
        <f ca="1">IF(ISERROR($V88),"",OFFSET('Smelter Look-up'!$D$4,$V88-4,0)&amp;"")</f>
        <v>UNITED STATES OF AMERICA</v>
      </c>
      <c r="F88" s="182" t="str">
        <f ca="1">IF(ISERROR($V88),"",OFFSET('Smelter Look-up'!$E$4,$V88-4,0))</f>
        <v>CID001142</v>
      </c>
      <c r="G88" s="182" t="str">
        <f ca="1">IF(C88=$X$4,IF(ISERROR($V88),"Enter smelter details","RMI"),IF(ISERROR($V88),"",OFFSET('Smelter Look-up'!$F$4,$V88-4,0)))</f>
        <v>RMI</v>
      </c>
      <c r="H88" s="183">
        <f ca="1">IF(ISERROR($V88),"",OFFSET('Smelter Look-up'!$G$4,$V88-4,0))</f>
        <v>0</v>
      </c>
      <c r="I88" s="184" t="str">
        <f ca="1">IF(ISERROR($V88),"",OFFSET('Smelter Look-up'!$H$4,$V88-4,0))</f>
        <v>Twinsburg</v>
      </c>
      <c r="J88" s="184" t="str">
        <f ca="1">IF(ISERROR($V88),"",OFFSET('Smelter Look-up'!$I$4,$V88-4,0))</f>
        <v>Ohio</v>
      </c>
      <c r="K88" s="224"/>
      <c r="L88" s="224"/>
      <c r="M88" s="224"/>
      <c r="N88" s="224"/>
      <c r="O88" s="224"/>
      <c r="P88" s="185"/>
      <c r="Q88" s="225"/>
      <c r="R88" s="182" t="str">
        <f ca="1">IF(ISERROR($V88),"",OFFSET('Smelter Look-up'!$C$4,$V88-4,0)&amp;"")</f>
        <v>Metallic Resources, Inc.</v>
      </c>
      <c r="S88" s="181" t="str">
        <f t="shared" ca="1" si="12"/>
        <v>US</v>
      </c>
      <c r="T88" s="181" t="str">
        <f ca="1">IF(B88="","",IF(ISERROR(MATCH($J88,SorP!$B$1:$B$6279,0)),"",INDIRECT("'SorP'!$A$"&amp;MATCH($S88&amp;$J88,SorP!C:C,0))))</f>
        <v>US-OH</v>
      </c>
      <c r="U88" s="201"/>
      <c r="V88" s="226">
        <f ca="1">IF(C88="",NA(),IF(OR(C88="Smelter not listed",C88="Smelter not yet identified"),MATCH($B88&amp;$D88,'Smelter Look-up'!$J:$J,0),MATCH($B88&amp;$C88,'Smelter Look-up'!$J:$J,0)))</f>
        <v>462</v>
      </c>
      <c r="X88" s="227">
        <f t="shared" ca="1" si="13"/>
        <v>0</v>
      </c>
      <c r="AB88" s="228" t="str">
        <f t="shared" ca="1" si="14"/>
        <v>TinMetallic Resources, Inc.</v>
      </c>
    </row>
    <row r="89" spans="1:28" s="227" customFormat="1" ht="63">
      <c r="A89" s="181" t="s">
        <v>1788</v>
      </c>
      <c r="B89" s="182" t="str">
        <f ca="1">IF(LEN(A89)=0,"",INDEX('Smelter Look-up'!$A:$A,MATCH($A89,'Smelter Look-up'!$E:$E,0)))</f>
        <v>Tin</v>
      </c>
      <c r="C89" s="186" t="str">
        <f ca="1">IF(LEN(A89)=0,"",INDEX('Smelter Look-up'!$C:$C,MATCH($A89,'Smelter Look-up'!$E:$E,0)))</f>
        <v>Jiangxi New Nanshan Technology Ltd.</v>
      </c>
      <c r="D89" s="230" t="s">
        <v>13181</v>
      </c>
      <c r="E89" s="182" t="str">
        <f ca="1">IF(ISERROR($V89),"",OFFSET('Smelter Look-up'!$D$4,$V89-4,0)&amp;"")</f>
        <v>CHINA</v>
      </c>
      <c r="F89" s="182" t="str">
        <f ca="1">IF(ISERROR($V89),"",OFFSET('Smelter Look-up'!$E$4,$V89-4,0))</f>
        <v>CID001231</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Jiangxi New Nanshan Technology Ltd.</v>
      </c>
      <c r="S89" s="181" t="str">
        <f t="shared" ca="1" si="12"/>
        <v>CN</v>
      </c>
      <c r="T89" s="181" t="str">
        <f ca="1">IF(B89="","",IF(ISERROR(MATCH($J89,SorP!$B$1:$B$6279,0)),"",INDIRECT("'SorP'!$A$"&amp;MATCH($S89&amp;$J89,SorP!C:C,0))))</f>
        <v>CN-JX</v>
      </c>
      <c r="U89" s="201"/>
      <c r="V89" s="226">
        <f ca="1">IF(C89="",NA(),IF(OR(C89="Smelter not listed",C89="Smelter not yet identified"),MATCH($B89&amp;$D89,'Smelter Look-up'!$J:$J,0),MATCH($B89&amp;$C89,'Smelter Look-up'!$J:$J,0)))</f>
        <v>450</v>
      </c>
      <c r="X89" s="227">
        <f t="shared" ca="1" si="13"/>
        <v>0</v>
      </c>
      <c r="AB89" s="228" t="str">
        <f t="shared" ca="1" si="14"/>
        <v>TinJiangxi New Nanshan Technology Ltd.</v>
      </c>
    </row>
    <row r="90" spans="1:28" s="227" customFormat="1" ht="100.8">
      <c r="A90" s="181" t="s">
        <v>2278</v>
      </c>
      <c r="B90" s="182" t="str">
        <f ca="1">IF(LEN(A90)=0,"",INDEX('Smelter Look-up'!$A:$A,MATCH($A90,'Smelter Look-up'!$E:$E,0)))</f>
        <v>Tin</v>
      </c>
      <c r="C90" s="186" t="str">
        <f ca="1">IF(LEN(A90)=0,"",INDEX('Smelter Look-up'!$C:$C,MATCH($A90,'Smelter Look-up'!$E:$E,0)))</f>
        <v>Chenzhou Yunxiang Mining and Metallurgy Co., Ltd.</v>
      </c>
      <c r="D90" s="230" t="s">
        <v>2335</v>
      </c>
      <c r="E90" s="182" t="str">
        <f ca="1">IF(ISERROR($V90),"",OFFSET('Smelter Look-up'!$D$4,$V90-4,0)&amp;"")</f>
        <v>CHINA</v>
      </c>
      <c r="F90" s="182" t="str">
        <f ca="1">IF(ISERROR($V90),"",OFFSET('Smelter Look-up'!$E$4,$V90-4,0))</f>
        <v>CID000228</v>
      </c>
      <c r="G90" s="182" t="str">
        <f ca="1">IF(C90=$X$4,IF(ISERROR($V90),"Enter smelter details","RMI"),IF(ISERROR($V90),"",OFFSET('Smelter Look-up'!$F$4,$V90-4,0)))</f>
        <v>RMI</v>
      </c>
      <c r="H90" s="183">
        <f ca="1">IF(ISERROR($V90),"",OFFSET('Smelter Look-up'!$G$4,$V90-4,0))</f>
        <v>0</v>
      </c>
      <c r="I90" s="184" t="str">
        <f ca="1">IF(ISERROR($V90),"",OFFSET('Smelter Look-up'!$H$4,$V90-4,0))</f>
        <v>Chenzhou</v>
      </c>
      <c r="J90" s="184" t="str">
        <f ca="1">IF(ISERROR($V90),"",OFFSET('Smelter Look-up'!$I$4,$V90-4,0))</f>
        <v>Hunan Sheng</v>
      </c>
      <c r="K90" s="224"/>
      <c r="L90" s="224"/>
      <c r="M90" s="224"/>
      <c r="N90" s="224"/>
      <c r="O90" s="224"/>
      <c r="P90" s="185"/>
      <c r="Q90" s="225"/>
      <c r="R90" s="182" t="str">
        <f ca="1">IF(ISERROR($V90),"",OFFSET('Smelter Look-up'!$C$4,$V90-4,0)&amp;"")</f>
        <v>Chenzhou Yunxiang Mining and Metallurgy Co., Ltd.</v>
      </c>
      <c r="S90" s="181" t="str">
        <f t="shared" ca="1" si="12"/>
        <v>CN</v>
      </c>
      <c r="T90" s="181" t="str">
        <f ca="1">IF(B90="","",IF(ISERROR(MATCH($J90,SorP!$B$1:$B$6279,0)),"",INDIRECT("'SorP'!$A$"&amp;MATCH($S90&amp;$J90,SorP!C:C,0))))</f>
        <v>CN-HN</v>
      </c>
      <c r="U90" s="201"/>
      <c r="V90" s="226">
        <f ca="1">IF(C90="",NA(),IF(OR(C90="Smelter not listed",C90="Smelter not yet identified"),MATCH($B90&amp;$D90,'Smelter Look-up'!$J:$J,0),MATCH($B90&amp;$C90,'Smelter Look-up'!$J:$J,0)))</f>
        <v>400</v>
      </c>
      <c r="X90" s="227">
        <f t="shared" ca="1" si="13"/>
        <v>0</v>
      </c>
      <c r="AB90" s="228" t="str">
        <f t="shared" ca="1" si="14"/>
        <v>TinChenzhou Yunxiang Mining and Metallurgy Co., Ltd.</v>
      </c>
    </row>
    <row r="91" spans="1:28" s="227" customFormat="1" ht="50.4">
      <c r="A91" s="181" t="s">
        <v>15097</v>
      </c>
      <c r="B91" s="182" t="str">
        <f ca="1">IF(LEN(A91)=0,"",INDEX('Smelter Look-up'!$A:$A,MATCH($A91,'Smelter Look-up'!$E:$E,0)))</f>
        <v>Tin</v>
      </c>
      <c r="C91" s="186" t="str">
        <f ca="1">IF(LEN(A91)=0,"",INDEX('Smelter Look-up'!$C:$C,MATCH($A91,'Smelter Look-up'!$E:$E,0)))</f>
        <v>CV Venus Inti Perkasa</v>
      </c>
      <c r="D91" s="230" t="s">
        <v>15096</v>
      </c>
      <c r="E91" s="182" t="str">
        <f ca="1">IF(ISERROR($V91),"",OFFSET('Smelter Look-up'!$D$4,$V91-4,0)&amp;"")</f>
        <v>INDONESIA</v>
      </c>
      <c r="F91" s="182" t="str">
        <f ca="1">IF(ISERROR($V91),"",OFFSET('Smelter Look-up'!$E$4,$V91-4,0))</f>
        <v>CID002455</v>
      </c>
      <c r="G91" s="182" t="str">
        <f ca="1">IF(C91=$X$4,IF(ISERROR($V91),"Enter smelter details","RMI"),IF(ISERROR($V91),"",OFFSET('Smelter Look-up'!$F$4,$V91-4,0)))</f>
        <v>RMI</v>
      </c>
      <c r="H91" s="183">
        <f ca="1">IF(ISERROR($V91),"",OFFSET('Smelter Look-up'!$G$4,$V91-4,0))</f>
        <v>0</v>
      </c>
      <c r="I91" s="184" t="str">
        <f ca="1">IF(ISERROR($V91),"",OFFSET('Smelter Look-up'!$H$4,$V91-4,0))</f>
        <v>Pangkal Pinang</v>
      </c>
      <c r="J91" s="184" t="str">
        <f ca="1">IF(ISERROR($V91),"",OFFSET('Smelter Look-up'!$I$4,$V91-4,0))</f>
        <v>Kepulauan Bangka Belitung</v>
      </c>
      <c r="K91" s="224"/>
      <c r="L91" s="224"/>
      <c r="M91" s="224"/>
      <c r="N91" s="224"/>
      <c r="O91" s="224"/>
      <c r="P91" s="185"/>
      <c r="Q91" s="225"/>
      <c r="R91" s="182" t="str">
        <f ca="1">IF(ISERROR($V91),"",OFFSET('Smelter Look-up'!$C$4,$V91-4,0)&amp;"")</f>
        <v>CV Venus Inti Perkasa</v>
      </c>
      <c r="S91" s="181" t="str">
        <f t="shared" ca="1" si="12"/>
        <v>ID</v>
      </c>
      <c r="T91" s="181" t="str">
        <f ca="1">IF(B91="","",IF(ISERROR(MATCH($J91,SorP!$B$1:$B$6279,0)),"",INDIRECT("'SorP'!$A$"&amp;MATCH($S91&amp;$J91,SorP!C:C,0))))</f>
        <v>ID-BB</v>
      </c>
      <c r="U91" s="201"/>
      <c r="V91" s="226">
        <f ca="1">IF(C91="",NA(),IF(OR(C91="Smelter not listed",C91="Smelter not yet identified"),MATCH($B91&amp;$D91,'Smelter Look-up'!$J:$J,0),MATCH($B91&amp;$C91,'Smelter Look-up'!$J:$J,0)))</f>
        <v>415</v>
      </c>
      <c r="X91" s="227">
        <f t="shared" ca="1" si="13"/>
        <v>0</v>
      </c>
      <c r="AB91" s="228" t="str">
        <f t="shared" ca="1" si="14"/>
        <v>TinCV Venus Inti Perkasa</v>
      </c>
    </row>
    <row r="92" spans="1:28" s="227" customFormat="1" ht="37.799999999999997">
      <c r="A92" s="181" t="s">
        <v>1817</v>
      </c>
      <c r="B92" s="182" t="str">
        <f ca="1">IF(LEN(A92)=0,"",INDEX('Smelter Look-up'!$A:$A,MATCH($A92,'Smelter Look-up'!$E:$E,0)))</f>
        <v>Tin</v>
      </c>
      <c r="C92" s="186" t="str">
        <f ca="1">IF(LEN(A92)=0,"",INDEX('Smelter Look-up'!$C:$C,MATCH($A92,'Smelter Look-up'!$E:$E,0)))</f>
        <v>Aurubis Berango</v>
      </c>
      <c r="D92" s="230" t="s">
        <v>12933</v>
      </c>
      <c r="E92" s="182" t="str">
        <f ca="1">IF(ISERROR($V92),"",OFFSET('Smelter Look-up'!$D$4,$V92-4,0)&amp;"")</f>
        <v>SPAIN</v>
      </c>
      <c r="F92" s="182" t="str">
        <f ca="1">IF(ISERROR($V92),"",OFFSET('Smelter Look-up'!$E$4,$V92-4,0))</f>
        <v>CID002774</v>
      </c>
      <c r="G92" s="182" t="str">
        <f ca="1">IF(C92=$X$4,IF(ISERROR($V92),"Enter smelter details","RMI"),IF(ISERROR($V92),"",OFFSET('Smelter Look-up'!$F$4,$V92-4,0)))</f>
        <v>RMI</v>
      </c>
      <c r="H92" s="183">
        <f ca="1">IF(ISERROR($V92),"",OFFSET('Smelter Look-up'!$G$4,$V92-4,0))</f>
        <v>0</v>
      </c>
      <c r="I92" s="184" t="str">
        <f ca="1">IF(ISERROR($V92),"",OFFSET('Smelter Look-up'!$H$4,$V92-4,0))</f>
        <v>Berango</v>
      </c>
      <c r="J92" s="184" t="str">
        <f ca="1">IF(ISERROR($V92),"",OFFSET('Smelter Look-up'!$I$4,$V92-4,0))</f>
        <v>Bizkaia</v>
      </c>
      <c r="K92" s="224"/>
      <c r="L92" s="224"/>
      <c r="M92" s="224"/>
      <c r="N92" s="224"/>
      <c r="O92" s="224"/>
      <c r="P92" s="185"/>
      <c r="Q92" s="225"/>
      <c r="R92" s="182" t="str">
        <f ca="1">IF(ISERROR($V92),"",OFFSET('Smelter Look-up'!$C$4,$V92-4,0)&amp;"")</f>
        <v>Aurubis Berango</v>
      </c>
      <c r="S92" s="181" t="str">
        <f t="shared" ca="1" si="12"/>
        <v>ES</v>
      </c>
      <c r="T92" s="181" t="str">
        <f ca="1">IF(B92="","",IF(ISERROR(MATCH($J92,SorP!$B$1:$B$6279,0)),"",INDIRECT("'SorP'!$A$"&amp;MATCH($S92&amp;$J92,SorP!C:C,0))))</f>
        <v>ES-BI</v>
      </c>
      <c r="U92" s="201"/>
      <c r="V92" s="226">
        <f ca="1">IF(C92="",NA(),IF(OR(C92="Smelter not listed",C92="Smelter not yet identified"),MATCH($B92&amp;$D92,'Smelter Look-up'!$J:$J,0),MATCH($B92&amp;$C92,'Smelter Look-up'!$J:$J,0)))</f>
        <v>395</v>
      </c>
      <c r="X92" s="227">
        <f t="shared" ca="1" si="13"/>
        <v>0</v>
      </c>
      <c r="AB92" s="228" t="str">
        <f t="shared" ca="1" si="14"/>
        <v>TinAurubis Berango</v>
      </c>
    </row>
    <row r="93" spans="1:28" s="227" customFormat="1" ht="88.2">
      <c r="A93" s="181" t="s">
        <v>767</v>
      </c>
      <c r="B93" s="182" t="str">
        <f ca="1">IF(LEN(A93)=0,"",INDEX('Smelter Look-up'!$A:$A,MATCH($A93,'Smelter Look-up'!$E:$E,0)))</f>
        <v>Tin</v>
      </c>
      <c r="C93" s="186" t="str">
        <f ca="1">IF(LEN(A93)=0,"",INDEX('Smelter Look-up'!$C:$C,MATCH($A93,'Smelter Look-up'!$E:$E,0)))</f>
        <v>Gejiu Non-Ferrous Metal Processing Co., Ltd.</v>
      </c>
      <c r="D93" s="230" t="s">
        <v>2144</v>
      </c>
      <c r="E93" s="182" t="str">
        <f ca="1">IF(ISERROR($V93),"",OFFSET('Smelter Look-up'!$D$4,$V93-4,0)&amp;"")</f>
        <v>CHINA</v>
      </c>
      <c r="F93" s="182" t="str">
        <f ca="1">IF(ISERROR($V93),"",OFFSET('Smelter Look-up'!$E$4,$V93-4,0))</f>
        <v>CID000538</v>
      </c>
      <c r="G93" s="182" t="str">
        <f ca="1">IF(C93=$X$4,IF(ISERROR($V93),"Enter smelter details","RMI"),IF(ISERROR($V93),"",OFFSET('Smelter Look-up'!$F$4,$V93-4,0)))</f>
        <v>RMI</v>
      </c>
      <c r="H93" s="183">
        <f ca="1">IF(ISERROR($V93),"",OFFSET('Smelter Look-up'!$G$4,$V93-4,0))</f>
        <v>0</v>
      </c>
      <c r="I93" s="184" t="str">
        <f ca="1">IF(ISERROR($V93),"",OFFSET('Smelter Look-up'!$H$4,$V93-4,0))</f>
        <v>Gejiu</v>
      </c>
      <c r="J93" s="184" t="str">
        <f ca="1">IF(ISERROR($V93),"",OFFSET('Smelter Look-up'!$I$4,$V93-4,0))</f>
        <v>Yunnan Sheng</v>
      </c>
      <c r="K93" s="224"/>
      <c r="L93" s="224"/>
      <c r="M93" s="224"/>
      <c r="N93" s="224"/>
      <c r="O93" s="224"/>
      <c r="P93" s="185"/>
      <c r="Q93" s="225"/>
      <c r="R93" s="182" t="str">
        <f ca="1">IF(ISERROR($V93),"",OFFSET('Smelter Look-up'!$C$4,$V93-4,0)&amp;"")</f>
        <v>Gejiu Non-Ferrous Metal Processing Co., Ltd.</v>
      </c>
      <c r="S93" s="181" t="str">
        <f t="shared" ca="1" si="12"/>
        <v>CN</v>
      </c>
      <c r="T93" s="181" t="str">
        <f ca="1">IF(B93="","",IF(ISERROR(MATCH($J93,SorP!$B$1:$B$6279,0)),"",INDIRECT("'SorP'!$A$"&amp;MATCH($S93&amp;$J93,SorP!C:C,0))))</f>
        <v>CN-YN</v>
      </c>
      <c r="U93" s="201"/>
      <c r="V93" s="226">
        <f ca="1">IF(C93="",NA(),IF(OR(C93="Smelter not listed",C93="Smelter not yet identified"),MATCH($B93&amp;$D93,'Smelter Look-up'!$J:$J,0),MATCH($B93&amp;$C93,'Smelter Look-up'!$J:$J,0)))</f>
        <v>436</v>
      </c>
      <c r="X93" s="227">
        <f t="shared" ca="1" si="13"/>
        <v>0</v>
      </c>
      <c r="AB93" s="228" t="str">
        <f t="shared" ca="1" si="14"/>
        <v>TinGejiu Non-Ferrous Metal Processing Co., Ltd.</v>
      </c>
    </row>
    <row r="94" spans="1:28" s="227" customFormat="1" ht="50.4">
      <c r="A94" s="181" t="s">
        <v>685</v>
      </c>
      <c r="B94" s="182" t="str">
        <f ca="1">IF(LEN(A94)=0,"",INDEX('Smelter Look-up'!$A:$A,MATCH($A94,'Smelter Look-up'!$E:$E,0)))</f>
        <v>Gold</v>
      </c>
      <c r="C94" s="186" t="str">
        <f ca="1">IF(LEN(A94)=0,"",INDEX('Smelter Look-up'!$C:$C,MATCH($A94,'Smelter Look-up'!$E:$E,0)))</f>
        <v>Jiangxi Copper Co., Ltd.</v>
      </c>
      <c r="D94" s="230" t="s">
        <v>2299</v>
      </c>
      <c r="E94" s="182" t="str">
        <f ca="1">IF(ISERROR($V94),"",OFFSET('Smelter Look-up'!$D$4,$V94-4,0)&amp;"")</f>
        <v>CHINA</v>
      </c>
      <c r="F94" s="182" t="str">
        <f ca="1">IF(ISERROR($V94),"",OFFSET('Smelter Look-up'!$E$4,$V94-4,0))</f>
        <v>CID000855</v>
      </c>
      <c r="G94" s="182" t="str">
        <f ca="1">IF(C94=$X$4,IF(ISERROR($V94),"Enter smelter details","RMI"),IF(ISERROR($V94),"",OFFSET('Smelter Look-up'!$F$4,$V94-4,0)))</f>
        <v>RMI</v>
      </c>
      <c r="H94" s="183">
        <f ca="1">IF(ISERROR($V94),"",OFFSET('Smelter Look-up'!$G$4,$V94-4,0))</f>
        <v>0</v>
      </c>
      <c r="I94" s="184" t="str">
        <f ca="1">IF(ISERROR($V94),"",OFFSET('Smelter Look-up'!$H$4,$V94-4,0))</f>
        <v>Guixi City</v>
      </c>
      <c r="J94" s="184" t="str">
        <f ca="1">IF(ISERROR($V94),"",OFFSET('Smelter Look-up'!$I$4,$V94-4,0))</f>
        <v>Jiangxi Sheng</v>
      </c>
      <c r="K94" s="224"/>
      <c r="L94" s="224"/>
      <c r="M94" s="224"/>
      <c r="N94" s="224"/>
      <c r="O94" s="224"/>
      <c r="P94" s="185"/>
      <c r="Q94" s="225"/>
      <c r="R94" s="182" t="str">
        <f ca="1">IF(ISERROR($V94),"",OFFSET('Smelter Look-up'!$C$4,$V94-4,0)&amp;"")</f>
        <v>Jiangxi Copper Co., Ltd.</v>
      </c>
      <c r="S94" s="181" t="str">
        <f t="shared" ca="1" si="12"/>
        <v>CN</v>
      </c>
      <c r="T94" s="181" t="str">
        <f ca="1">IF(B94="","",IF(ISERROR(MATCH($J94,SorP!$B$1:$B$6279,0)),"",INDIRECT("'SorP'!$A$"&amp;MATCH($S94&amp;$J94,SorP!C:C,0))))</f>
        <v>CN-JX</v>
      </c>
      <c r="U94" s="201"/>
      <c r="V94" s="226">
        <f ca="1">IF(C94="",NA(),IF(OR(C94="Smelter not listed",C94="Smelter not yet identified"),MATCH($B94&amp;$D94,'Smelter Look-up'!$J:$J,0),MATCH($B94&amp;$C94,'Smelter Look-up'!$J:$J,0)))</f>
        <v>124</v>
      </c>
      <c r="X94" s="227">
        <f t="shared" ca="1" si="13"/>
        <v>0</v>
      </c>
      <c r="AB94" s="228" t="str">
        <f t="shared" ca="1" si="14"/>
        <v>GoldJiangxi Copper Co., Ltd.</v>
      </c>
    </row>
    <row r="95" spans="1:28" s="227" customFormat="1" ht="63">
      <c r="A95" s="181" t="s">
        <v>15095</v>
      </c>
      <c r="B95" s="182" t="str">
        <f ca="1">IF(LEN(A95)=0,"",INDEX('Smelter Look-up'!$A:$A,MATCH($A95,'Smelter Look-up'!$E:$E,0)))</f>
        <v>Tin</v>
      </c>
      <c r="C95" s="186" t="str">
        <f ca="1">IF(LEN(A95)=0,"",INDEX('Smelter Look-up'!$C:$C,MATCH($A95,'Smelter Look-up'!$E:$E,0)))</f>
        <v>PT Aries Kencana Sejahtera</v>
      </c>
      <c r="D95" s="230" t="s">
        <v>15094</v>
      </c>
      <c r="E95" s="182" t="str">
        <f ca="1">IF(ISERROR($V95),"",OFFSET('Smelter Look-up'!$D$4,$V95-4,0)&amp;"")</f>
        <v>INDONESIA</v>
      </c>
      <c r="F95" s="182" t="str">
        <f ca="1">IF(ISERROR($V95),"",OFFSET('Smelter Look-up'!$E$4,$V95-4,0))</f>
        <v>CID000309</v>
      </c>
      <c r="G95" s="182" t="str">
        <f ca="1">IF(C95=$X$4,IF(ISERROR($V95),"Enter smelter details","RMI"),IF(ISERROR($V95),"",OFFSET('Smelter Look-up'!$F$4,$V95-4,0)))</f>
        <v>RMI</v>
      </c>
      <c r="H95" s="183">
        <f ca="1">IF(ISERROR($V95),"",OFFSET('Smelter Look-up'!$G$4,$V95-4,0))</f>
        <v>0</v>
      </c>
      <c r="I95" s="184" t="str">
        <f ca="1">IF(ISERROR($V95),"",OFFSET('Smelter Look-up'!$H$4,$V95-4,0))</f>
        <v>Pemali</v>
      </c>
      <c r="J95" s="184" t="str">
        <f ca="1">IF(ISERROR($V95),"",OFFSET('Smelter Look-up'!$I$4,$V95-4,0))</f>
        <v>Kepulauan Bangka Belitung</v>
      </c>
      <c r="K95" s="224"/>
      <c r="L95" s="224"/>
      <c r="M95" s="224"/>
      <c r="N95" s="224"/>
      <c r="O95" s="224"/>
      <c r="P95" s="185"/>
      <c r="Q95" s="225"/>
      <c r="R95" s="182" t="str">
        <f ca="1">IF(ISERROR($V95),"",OFFSET('Smelter Look-up'!$C$4,$V95-4,0)&amp;"")</f>
        <v>PT Aries Kencana Sejahtera</v>
      </c>
      <c r="S95" s="181" t="str">
        <f t="shared" ca="1" si="12"/>
        <v>ID</v>
      </c>
      <c r="T95" s="181" t="str">
        <f ca="1">IF(B95="","",IF(ISERROR(MATCH($J95,SorP!$B$1:$B$6279,0)),"",INDIRECT("'SorP'!$A$"&amp;MATCH($S95&amp;$J95,SorP!C:C,0))))</f>
        <v>ID-BB</v>
      </c>
      <c r="U95" s="201"/>
      <c r="V95" s="226">
        <f ca="1">IF(C95="",NA(),IF(OR(C95="Smelter not listed",C95="Smelter not yet identified"),MATCH($B95&amp;$D95,'Smelter Look-up'!$J:$J,0),MATCH($B95&amp;$C95,'Smelter Look-up'!$J:$J,0)))</f>
        <v>486</v>
      </c>
      <c r="X95" s="227">
        <f t="shared" ca="1" si="13"/>
        <v>0</v>
      </c>
      <c r="AB95" s="228" t="str">
        <f t="shared" ca="1" si="14"/>
        <v>TinPT Aries Kencana Sejahtera</v>
      </c>
    </row>
    <row r="96" spans="1:28" s="227" customFormat="1" ht="75.599999999999994">
      <c r="A96" s="181" t="s">
        <v>776</v>
      </c>
      <c r="B96" s="182" t="str">
        <f ca="1">IF(LEN(A96)=0,"",INDEX('Smelter Look-up'!$A:$A,MATCH($A96,'Smelter Look-up'!$E:$E,0)))</f>
        <v>Tin</v>
      </c>
      <c r="C96" s="186" t="str">
        <f ca="1">IF(LEN(A96)=0,"",INDEX('Smelter Look-up'!$C:$C,MATCH($A96,'Smelter Look-up'!$E:$E,0)))</f>
        <v>O.M. Manufacturing (Thailand) Co., Ltd.</v>
      </c>
      <c r="D96" s="230" t="s">
        <v>775</v>
      </c>
      <c r="E96" s="182" t="str">
        <f ca="1">IF(ISERROR($V96),"",OFFSET('Smelter Look-up'!$D$4,$V96-4,0)&amp;"")</f>
        <v>THAILAND</v>
      </c>
      <c r="F96" s="182" t="str">
        <f ca="1">IF(ISERROR($V96),"",OFFSET('Smelter Look-up'!$E$4,$V96-4,0))</f>
        <v>CID001314</v>
      </c>
      <c r="G96" s="182" t="str">
        <f ca="1">IF(C96=$X$4,IF(ISERROR($V96),"Enter smelter details","RMI"),IF(ISERROR($V96),"",OFFSET('Smelter Look-up'!$F$4,$V96-4,0)))</f>
        <v>RMI</v>
      </c>
      <c r="H96" s="183">
        <f ca="1">IF(ISERROR($V96),"",OFFSET('Smelter Look-up'!$G$4,$V96-4,0))</f>
        <v>0</v>
      </c>
      <c r="I96" s="184" t="str">
        <f ca="1">IF(ISERROR($V96),"",OFFSET('Smelter Look-up'!$H$4,$V96-4,0))</f>
        <v>Nongkham Sriracha</v>
      </c>
      <c r="J96" s="184" t="str">
        <f ca="1">IF(ISERROR($V96),"",OFFSET('Smelter Look-up'!$I$4,$V96-4,0))</f>
        <v>Chon Buri</v>
      </c>
      <c r="K96" s="224"/>
      <c r="L96" s="224"/>
      <c r="M96" s="224"/>
      <c r="N96" s="224"/>
      <c r="O96" s="224"/>
      <c r="P96" s="185"/>
      <c r="Q96" s="225"/>
      <c r="R96" s="182" t="str">
        <f ca="1">IF(ISERROR($V96),"",OFFSET('Smelter Look-up'!$C$4,$V96-4,0)&amp;"")</f>
        <v>O.M. Manufacturing (Thailand) Co., Ltd.</v>
      </c>
      <c r="S96" s="181" t="str">
        <f t="shared" ca="1" si="12"/>
        <v>TH</v>
      </c>
      <c r="T96" s="181" t="str">
        <f ca="1">IF(B96="","",IF(ISERROR(MATCH($J96,SorP!$B$1:$B$6279,0)),"",INDIRECT("'SorP'!$A$"&amp;MATCH($S96&amp;$J96,SorP!C:C,0))))</f>
        <v>TH-20</v>
      </c>
      <c r="U96" s="201"/>
      <c r="V96" s="226">
        <f ca="1">IF(C96="",NA(),IF(OR(C96="Smelter not listed",C96="Smelter not yet identified"),MATCH($B96&amp;$D96,'Smelter Look-up'!$J:$J,0),MATCH($B96&amp;$C96,'Smelter Look-up'!$J:$J,0)))</f>
        <v>479</v>
      </c>
      <c r="X96" s="227">
        <f t="shared" ca="1" si="13"/>
        <v>0</v>
      </c>
      <c r="AB96" s="228" t="str">
        <f t="shared" ca="1" si="14"/>
        <v>TinO.M. Manufacturing (Thailand) Co., Ltd.</v>
      </c>
    </row>
    <row r="97" spans="1:28" s="227" customFormat="1" ht="63">
      <c r="A97" s="181" t="s">
        <v>1397</v>
      </c>
      <c r="B97" s="182" t="str">
        <f ca="1">IF(LEN(A97)=0,"",INDEX('Smelter Look-up'!$A:$A,MATCH($A97,'Smelter Look-up'!$E:$E,0)))</f>
        <v>Tin</v>
      </c>
      <c r="C97" s="186" t="str">
        <f ca="1">IF(LEN(A97)=0,"",INDEX('Smelter Look-up'!$C:$C,MATCH($A97,'Smelter Look-up'!$E:$E,0)))</f>
        <v>O.M. Manufacturing Philippines, Inc.</v>
      </c>
      <c r="D97" s="230" t="s">
        <v>1396</v>
      </c>
      <c r="E97" s="182" t="str">
        <f ca="1">IF(ISERROR($V97),"",OFFSET('Smelter Look-up'!$D$4,$V97-4,0)&amp;"")</f>
        <v>PHILIPPINES</v>
      </c>
      <c r="F97" s="182" t="str">
        <f ca="1">IF(ISERROR($V97),"",OFFSET('Smelter Look-up'!$E$4,$V97-4,0))</f>
        <v>CID002517</v>
      </c>
      <c r="G97" s="182" t="str">
        <f ca="1">IF(C97=$X$4,IF(ISERROR($V97),"Enter smelter details","RMI"),IF(ISERROR($V97),"",OFFSET('Smelter Look-up'!$F$4,$V97-4,0)))</f>
        <v>RMI</v>
      </c>
      <c r="H97" s="183">
        <f ca="1">IF(ISERROR($V97),"",OFFSET('Smelter Look-up'!$G$4,$V97-4,0))</f>
        <v>0</v>
      </c>
      <c r="I97" s="184" t="str">
        <f ca="1">IF(ISERROR($V97),"",OFFSET('Smelter Look-up'!$H$4,$V97-4,0))</f>
        <v>Rosario</v>
      </c>
      <c r="J97" s="184" t="str">
        <f ca="1">IF(ISERROR($V97),"",OFFSET('Smelter Look-up'!$I$4,$V97-4,0))</f>
        <v>Cavite</v>
      </c>
      <c r="K97" s="224"/>
      <c r="L97" s="224"/>
      <c r="M97" s="224"/>
      <c r="N97" s="224"/>
      <c r="O97" s="224"/>
      <c r="P97" s="185"/>
      <c r="Q97" s="225"/>
      <c r="R97" s="182" t="str">
        <f ca="1">IF(ISERROR($V97),"",OFFSET('Smelter Look-up'!$C$4,$V97-4,0)&amp;"")</f>
        <v>O.M. Manufacturing Philippines, Inc.</v>
      </c>
      <c r="S97" s="181" t="str">
        <f t="shared" ca="1" si="12"/>
        <v>PH</v>
      </c>
      <c r="T97" s="181" t="str">
        <f ca="1">IF(B97="","",IF(ISERROR(MATCH($J97,SorP!$B$1:$B$6279,0)),"",INDIRECT("'SorP'!$A$"&amp;MATCH($S97&amp;$J97,SorP!C:C,0))))</f>
        <v>PH-CAV</v>
      </c>
      <c r="U97" s="201"/>
      <c r="V97" s="226">
        <f ca="1">IF(C97="",NA(),IF(OR(C97="Smelter not listed",C97="Smelter not yet identified"),MATCH($B97&amp;$D97,'Smelter Look-up'!$J:$J,0),MATCH($B97&amp;$C97,'Smelter Look-up'!$J:$J,0)))</f>
        <v>480</v>
      </c>
      <c r="X97" s="227">
        <f t="shared" ca="1" si="13"/>
        <v>0</v>
      </c>
      <c r="AB97" s="228" t="str">
        <f t="shared" ca="1" si="14"/>
        <v>TinO.M. Manufacturing Philippines, Inc.</v>
      </c>
    </row>
    <row r="98" spans="1:28" s="227" customFormat="1" ht="75.599999999999994">
      <c r="A98" s="181" t="s">
        <v>12930</v>
      </c>
      <c r="B98" s="182" t="str">
        <f ca="1">IF(LEN(A98)=0,"",INDEX('Smelter Look-up'!$A:$A,MATCH($A98,'Smelter Look-up'!$E:$E,0)))</f>
        <v>Tin</v>
      </c>
      <c r="C98" s="186" t="str">
        <f ca="1">IF(LEN(A98)=0,"",INDEX('Smelter Look-up'!$C:$C,MATCH($A98,'Smelter Look-up'!$E:$E,0)))</f>
        <v>Chifeng Dajingzi Tin Industry Co., Ltd.</v>
      </c>
      <c r="D98" s="230" t="s">
        <v>12929</v>
      </c>
      <c r="E98" s="182" t="str">
        <f ca="1">IF(ISERROR($V98),"",OFFSET('Smelter Look-up'!$D$4,$V98-4,0)&amp;"")</f>
        <v>CHINA</v>
      </c>
      <c r="F98" s="182" t="str">
        <f ca="1">IF(ISERROR($V98),"",OFFSET('Smelter Look-up'!$E$4,$V98-4,0))</f>
        <v>CID003190</v>
      </c>
      <c r="G98" s="182" t="str">
        <f ca="1">IF(C98=$X$4,IF(ISERROR($V98),"Enter smelter details","RMI"),IF(ISERROR($V98),"",OFFSET('Smelter Look-up'!$F$4,$V98-4,0)))</f>
        <v>RMI</v>
      </c>
      <c r="H98" s="183">
        <f ca="1">IF(ISERROR($V98),"",OFFSET('Smelter Look-up'!$G$4,$V98-4,0))</f>
        <v>0</v>
      </c>
      <c r="I98" s="184" t="str">
        <f ca="1">IF(ISERROR($V98),"",OFFSET('Smelter Look-up'!$H$4,$V98-4,0))</f>
        <v>Chifeng</v>
      </c>
      <c r="J98" s="184" t="str">
        <f ca="1">IF(ISERROR($V98),"",OFFSET('Smelter Look-up'!$I$4,$V98-4,0))</f>
        <v>Nei Mongol Zizhiqu</v>
      </c>
      <c r="K98" s="224"/>
      <c r="L98" s="224"/>
      <c r="M98" s="224"/>
      <c r="N98" s="224"/>
      <c r="O98" s="224"/>
      <c r="P98" s="185"/>
      <c r="Q98" s="225"/>
      <c r="R98" s="182" t="str">
        <f ca="1">IF(ISERROR($V98),"",OFFSET('Smelter Look-up'!$C$4,$V98-4,0)&amp;"")</f>
        <v>Chifeng Dajingzi Tin Industry Co., Ltd.</v>
      </c>
      <c r="S98" s="181" t="str">
        <f t="shared" ca="1" si="12"/>
        <v>CN</v>
      </c>
      <c r="T98" s="181" t="str">
        <f ca="1">IF(B98="","",IF(ISERROR(MATCH($J98,SorP!$B$1:$B$6279,0)),"",INDIRECT("'SorP'!$A$"&amp;MATCH($S98&amp;$J98,SorP!C:C,0))))</f>
        <v>CN-NM</v>
      </c>
      <c r="U98" s="201"/>
      <c r="V98" s="226">
        <f ca="1">IF(C98="",NA(),IF(OR(C98="Smelter not listed",C98="Smelter not yet identified"),MATCH($B98&amp;$D98,'Smelter Look-up'!$J:$J,0),MATCH($B98&amp;$C98,'Smelter Look-up'!$J:$J,0)))</f>
        <v>401</v>
      </c>
      <c r="X98" s="227">
        <f t="shared" ca="1" si="13"/>
        <v>0</v>
      </c>
      <c r="AB98" s="228" t="str">
        <f t="shared" ca="1" si="14"/>
        <v>TinChifeng Dajingzi Tin Industry Co., Ltd.</v>
      </c>
    </row>
    <row r="99" spans="1:28" s="227" customFormat="1" ht="88.2">
      <c r="A99" s="181" t="s">
        <v>13808</v>
      </c>
      <c r="B99" s="182" t="str">
        <f ca="1">IF(LEN(A99)=0,"",INDEX('Smelter Look-up'!$A:$A,MATCH($A99,'Smelter Look-up'!$E:$E,0)))</f>
        <v>Tin</v>
      </c>
      <c r="C99" s="186" t="str">
        <f ca="1">IF(LEN(A99)=0,"",INDEX('Smelter Look-up'!$C:$C,MATCH($A99,'Smelter Look-up'!$E:$E,0)))</f>
        <v>Yunnan Yunfan Non-ferrous Metals Co., Ltd.</v>
      </c>
      <c r="D99" s="230" t="s">
        <v>13807</v>
      </c>
      <c r="E99" s="182" t="str">
        <f ca="1">IF(ISERROR($V99),"",OFFSET('Smelter Look-up'!$D$4,$V99-4,0)&amp;"")</f>
        <v>CHINA</v>
      </c>
      <c r="F99" s="182" t="str">
        <f ca="1">IF(ISERROR($V99),"",OFFSET('Smelter Look-up'!$E$4,$V99-4,0))</f>
        <v>CID003397</v>
      </c>
      <c r="G99" s="182">
        <f ca="1">IF(C99=$X$4,IF(ISERROR($V99),"Enter smelter details","RMI"),IF(ISERROR($V99),"",OFFSET('Smelter Look-up'!$F$4,$V99-4,0)))</f>
        <v>0</v>
      </c>
      <c r="H99" s="183">
        <f ca="1">IF(ISERROR($V99),"",OFFSET('Smelter Look-up'!$G$4,$V99-4,0))</f>
        <v>0</v>
      </c>
      <c r="I99" s="184" t="str">
        <f ca="1">IF(ISERROR($V99),"",OFFSET('Smelter Look-up'!$H$4,$V99-4,0))</f>
        <v>Gejiu</v>
      </c>
      <c r="J99" s="184" t="str">
        <f ca="1">IF(ISERROR($V99),"",OFFSET('Smelter Look-up'!$I$4,$V99-4,0))</f>
        <v>Yunnan Sheng</v>
      </c>
      <c r="K99" s="224"/>
      <c r="L99" s="224"/>
      <c r="M99" s="224"/>
      <c r="N99" s="224"/>
      <c r="O99" s="224"/>
      <c r="P99" s="185"/>
      <c r="Q99" s="225"/>
      <c r="R99" s="182" t="str">
        <f ca="1">IF(ISERROR($V99),"",OFFSET('Smelter Look-up'!$C$4,$V99-4,0)&amp;"")</f>
        <v>Yunnan Yunfan Non-ferrous Metals Co., Ltd.</v>
      </c>
      <c r="S99" s="181" t="str">
        <f t="shared" ca="1" si="12"/>
        <v>CN</v>
      </c>
      <c r="T99" s="181" t="str">
        <f ca="1">IF(B99="","",IF(ISERROR(MATCH($J99,SorP!$B$1:$B$6279,0)),"",INDIRECT("'SorP'!$A$"&amp;MATCH($S99&amp;$J99,SorP!C:C,0))))</f>
        <v>CN-YN</v>
      </c>
      <c r="U99" s="201"/>
      <c r="V99" s="226">
        <f ca="1">IF(C99="",NA(),IF(OR(C99="Smelter not listed",C99="Smelter not yet identified"),MATCH($B99&amp;$D99,'Smelter Look-up'!$J:$J,0),MATCH($B99&amp;$C99,'Smelter Look-up'!$J:$J,0)))</f>
        <v>551</v>
      </c>
      <c r="X99" s="227">
        <f t="shared" ca="1" si="13"/>
        <v>0</v>
      </c>
      <c r="AB99" s="228" t="str">
        <f t="shared" ca="1" si="14"/>
        <v>TinYunnan Yunfan Non-ferrous Metals Co., Ltd.</v>
      </c>
    </row>
    <row r="100" spans="1:28" s="227" customFormat="1" ht="25.2">
      <c r="A100" s="181" t="s">
        <v>1712</v>
      </c>
      <c r="B100" s="182" t="str">
        <f ca="1">IF(LEN(A100)=0,"",INDEX('Smelter Look-up'!$A:$A,MATCH($A100,'Smelter Look-up'!$E:$E,0)))</f>
        <v>Gold</v>
      </c>
      <c r="C100" s="186" t="str">
        <f ca="1">IF(LEN(A100)=0,"",INDEX('Smelter Look-up'!$C:$C,MATCH($A100,'Smelter Look-up'!$E:$E,0)))</f>
        <v>T.C.A S.p.A</v>
      </c>
      <c r="D100" s="230" t="s">
        <v>2215</v>
      </c>
      <c r="E100" s="182" t="str">
        <f ca="1">IF(ISERROR($V100),"",OFFSET('Smelter Look-up'!$D$4,$V100-4,0)&amp;"")</f>
        <v>ITALY</v>
      </c>
      <c r="F100" s="182" t="str">
        <f ca="1">IF(ISERROR($V100),"",OFFSET('Smelter Look-up'!$E$4,$V100-4,0))</f>
        <v>CID002580</v>
      </c>
      <c r="G100" s="182" t="str">
        <f ca="1">IF(C100=$X$4,IF(ISERROR($V100),"Enter smelter details","RMI"),IF(ISERROR($V100),"",OFFSET('Smelter Look-up'!$F$4,$V100-4,0)))</f>
        <v>RMI</v>
      </c>
      <c r="H100" s="183">
        <f ca="1">IF(ISERROR($V100),"",OFFSET('Smelter Look-up'!$G$4,$V100-4,0))</f>
        <v>0</v>
      </c>
      <c r="I100" s="184" t="str">
        <f ca="1">IF(ISERROR($V100),"",OFFSET('Smelter Look-up'!$H$4,$V100-4,0))</f>
        <v>Capolona</v>
      </c>
      <c r="J100" s="184" t="str">
        <f ca="1">IF(ISERROR($V100),"",OFFSET('Smelter Look-up'!$I$4,$V100-4,0))</f>
        <v>Toscana</v>
      </c>
      <c r="K100" s="224"/>
      <c r="L100" s="224"/>
      <c r="M100" s="224"/>
      <c r="N100" s="224"/>
      <c r="O100" s="224"/>
      <c r="P100" s="185"/>
      <c r="Q100" s="225"/>
      <c r="R100" s="182" t="str">
        <f ca="1">IF(ISERROR($V100),"",OFFSET('Smelter Look-up'!$C$4,$V100-4,0)&amp;"")</f>
        <v>T.C.A S.p.A</v>
      </c>
      <c r="S100" s="181" t="str">
        <f t="shared" ca="1" si="12"/>
        <v>IT</v>
      </c>
      <c r="T100" s="181" t="str">
        <f ca="1">IF(B100="","",IF(ISERROR(MATCH($J100,SorP!$B$1:$B$6279,0)),"",INDIRECT("'SorP'!$A$"&amp;MATCH($S100&amp;$J100,SorP!C:C,0))))</f>
        <v>IT-52</v>
      </c>
      <c r="U100" s="201"/>
      <c r="V100" s="226">
        <f ca="1">IF(C100="",NA(),IF(OR(C100="Smelter not listed",C100="Smelter not yet identified"),MATCH($B100&amp;$D100,'Smelter Look-up'!$J:$J,0),MATCH($B100&amp;$C100,'Smelter Look-up'!$J:$J,0)))</f>
        <v>269</v>
      </c>
      <c r="X100" s="227">
        <f t="shared" ca="1" si="13"/>
        <v>0</v>
      </c>
      <c r="AB100" s="228" t="str">
        <f t="shared" ca="1" si="14"/>
        <v>GoldT.C.A S.p.A</v>
      </c>
    </row>
    <row r="101" spans="1:28" s="227" customFormat="1" ht="88.2">
      <c r="A101" s="181" t="s">
        <v>769</v>
      </c>
      <c r="B101" s="182" t="str">
        <f ca="1">IF(LEN(A101)=0,"",INDEX('Smelter Look-up'!$A:$A,MATCH($A101,'Smelter Look-up'!$E:$E,0)))</f>
        <v>Tin</v>
      </c>
      <c r="C101" s="186" t="str">
        <f ca="1">IF(LEN(A101)=0,"",INDEX('Smelter Look-up'!$C:$C,MATCH($A101,'Smelter Look-up'!$E:$E,0)))</f>
        <v>Gejiu Kai Meng Industry and Trade LLC</v>
      </c>
      <c r="D101" s="230" t="s">
        <v>1420</v>
      </c>
      <c r="E101" s="182" t="str">
        <f ca="1">IF(ISERROR($V101),"",OFFSET('Smelter Look-up'!$D$4,$V101-4,0)&amp;"")</f>
        <v>CHINA</v>
      </c>
      <c r="F101" s="182" t="str">
        <f ca="1">IF(ISERROR($V101),"",OFFSET('Smelter Look-up'!$E$4,$V101-4,0))</f>
        <v>CID000942</v>
      </c>
      <c r="G101" s="182" t="str">
        <f ca="1">IF(C101=$X$4,IF(ISERROR($V101),"Enter smelter details","RMI"),IF(ISERROR($V101),"",OFFSET('Smelter Look-up'!$F$4,$V101-4,0)))</f>
        <v>RMI</v>
      </c>
      <c r="H101" s="183">
        <f ca="1">IF(ISERROR($V101),"",OFFSET('Smelter Look-up'!$G$4,$V101-4,0))</f>
        <v>0</v>
      </c>
      <c r="I101" s="184" t="str">
        <f ca="1">IF(ISERROR($V101),"",OFFSET('Smelter Look-up'!$H$4,$V101-4,0))</f>
        <v>Gejiu</v>
      </c>
      <c r="J101" s="184" t="str">
        <f ca="1">IF(ISERROR($V101),"",OFFSET('Smelter Look-up'!$I$4,$V101-4,0))</f>
        <v>Yunnan Sheng</v>
      </c>
      <c r="K101" s="224"/>
      <c r="L101" s="224"/>
      <c r="M101" s="224"/>
      <c r="N101" s="224"/>
      <c r="O101" s="224"/>
      <c r="P101" s="185"/>
      <c r="Q101" s="225"/>
      <c r="R101" s="182" t="str">
        <f ca="1">IF(ISERROR($V101),"",OFFSET('Smelter Look-up'!$C$4,$V101-4,0)&amp;"")</f>
        <v>Gejiu Kai Meng Industry and Trade LLC</v>
      </c>
      <c r="S101" s="181" t="str">
        <f t="shared" ca="1" si="12"/>
        <v>CN</v>
      </c>
      <c r="T101" s="181" t="str">
        <f ca="1">IF(B101="","",IF(ISERROR(MATCH($J101,SorP!$B$1:$B$6279,0)),"",INDIRECT("'SorP'!$A$"&amp;MATCH($S101&amp;$J101,SorP!C:C,0))))</f>
        <v>CN-YN</v>
      </c>
      <c r="U101" s="201"/>
      <c r="V101" s="226">
        <f ca="1">IF(C101="",NA(),IF(OR(C101="Smelter not listed",C101="Smelter not yet identified"),MATCH($B101&amp;$D101,'Smelter Look-up'!$J:$J,0),MATCH($B101&amp;$C101,'Smelter Look-up'!$J:$J,0)))</f>
        <v>435</v>
      </c>
      <c r="X101" s="227">
        <f t="shared" ca="1" si="13"/>
        <v>0</v>
      </c>
      <c r="AB101" s="228" t="str">
        <f t="shared" ca="1" si="14"/>
        <v>TinGejiu Kai Meng Industry and Trade LLC</v>
      </c>
    </row>
    <row r="102" spans="1:28" s="227" customFormat="1" ht="25.2">
      <c r="A102" s="181" t="s">
        <v>2318</v>
      </c>
      <c r="B102" s="182" t="str">
        <f ca="1">IF(LEN(A102)=0,"",INDEX('Smelter Look-up'!$A:$A,MATCH($A102,'Smelter Look-up'!$E:$E,0)))</f>
        <v>Gold</v>
      </c>
      <c r="C102" s="186" t="str">
        <f ca="1">IF(LEN(A102)=0,"",INDEX('Smelter Look-up'!$C:$C,MATCH($A102,'Smelter Look-up'!$E:$E,0)))</f>
        <v>SAFINA A.S.</v>
      </c>
      <c r="D102" s="230" t="s">
        <v>2317</v>
      </c>
      <c r="E102" s="182" t="str">
        <f ca="1">IF(ISERROR($V102),"",OFFSET('Smelter Look-up'!$D$4,$V102-4,0)&amp;"")</f>
        <v>CZECHIA</v>
      </c>
      <c r="F102" s="182" t="str">
        <f ca="1">IF(ISERROR($V102),"",OFFSET('Smelter Look-up'!$E$4,$V102-4,0))</f>
        <v>CID002290</v>
      </c>
      <c r="G102" s="182" t="str">
        <f ca="1">IF(C102=$X$4,IF(ISERROR($V102),"Enter smelter details","RMI"),IF(ISERROR($V102),"",OFFSET('Smelter Look-up'!$F$4,$V102-4,0)))</f>
        <v>RMI</v>
      </c>
      <c r="H102" s="183">
        <f ca="1">IF(ISERROR($V102),"",OFFSET('Smelter Look-up'!$G$4,$V102-4,0))</f>
        <v>0</v>
      </c>
      <c r="I102" s="184" t="str">
        <f ca="1">IF(ISERROR($V102),"",OFFSET('Smelter Look-up'!$H$4,$V102-4,0))</f>
        <v>Vestec</v>
      </c>
      <c r="J102" s="184" t="str">
        <f ca="1">IF(ISERROR($V102),"",OFFSET('Smelter Look-up'!$I$4,$V102-4,0))</f>
        <v>Praha-západ</v>
      </c>
      <c r="K102" s="224"/>
      <c r="L102" s="224"/>
      <c r="M102" s="224"/>
      <c r="N102" s="224"/>
      <c r="O102" s="224"/>
      <c r="P102" s="185"/>
      <c r="Q102" s="225"/>
      <c r="R102" s="182" t="str">
        <f ca="1">IF(ISERROR($V102),"",OFFSET('Smelter Look-up'!$C$4,$V102-4,0)&amp;"")</f>
        <v>SAFINA A.S.</v>
      </c>
      <c r="S102" s="181" t="str">
        <f t="shared" ref="S102:S132" ca="1" si="15">IF(B102="","",IF(ISERROR(MATCH($E102,CL,0)),"Unknown",INDIRECT("'C'!$A$"&amp;MATCH($E102,CL,0)+1)))</f>
        <v>CZ</v>
      </c>
      <c r="T102" s="181" t="str">
        <f ca="1">IF(B102="","",IF(ISERROR(MATCH($J102,SorP!$B$1:$B$6279,0)),"",INDIRECT("'SorP'!$A$"&amp;MATCH($S102&amp;$J102,SorP!C:C,0))))</f>
        <v>CZ-20A</v>
      </c>
      <c r="U102" s="201"/>
      <c r="V102" s="226">
        <f ca="1">IF(C102="",NA(),IF(OR(C102="Smelter not listed",C102="Smelter not yet identified"),MATCH($B102&amp;$D102,'Smelter Look-up'!$J:$J,0),MATCH($B102&amp;$C102,'Smelter Look-up'!$J:$J,0)))</f>
        <v>224</v>
      </c>
      <c r="X102" s="227">
        <f t="shared" ref="X102:X132" ca="1" si="16">IF(AND(C102="Smelter not listed",OR(LEN(D102)=0,LEN(E102)=0)),1,0)</f>
        <v>0</v>
      </c>
      <c r="AB102" s="228" t="str">
        <f t="shared" ref="AB102:AB132" ca="1" si="17">B102&amp;C102</f>
        <v>GoldSAFINA A.S.</v>
      </c>
    </row>
    <row r="103" spans="1:28" s="227" customFormat="1" ht="63">
      <c r="A103" s="181" t="s">
        <v>725</v>
      </c>
      <c r="B103" s="182" t="str">
        <f ca="1">IF(LEN(A103)=0,"",INDEX('Smelter Look-up'!$A:$A,MATCH($A103,'Smelter Look-up'!$E:$E,0)))</f>
        <v>Gold</v>
      </c>
      <c r="C103" s="186" t="str">
        <f ca="1">IF(LEN(A103)=0,"",INDEX('Smelter Look-up'!$C:$C,MATCH($A103,'Smelter Look-up'!$E:$E,0)))</f>
        <v>SEMPSA Joyeria Plateria S.A.</v>
      </c>
      <c r="D103" s="230" t="s">
        <v>12433</v>
      </c>
      <c r="E103" s="182" t="str">
        <f ca="1">IF(ISERROR($V103),"",OFFSET('Smelter Look-up'!$D$4,$V103-4,0)&amp;"")</f>
        <v>SPAIN</v>
      </c>
      <c r="F103" s="182" t="str">
        <f ca="1">IF(ISERROR($V103),"",OFFSET('Smelter Look-up'!$E$4,$V103-4,0))</f>
        <v>CID001585</v>
      </c>
      <c r="G103" s="182" t="str">
        <f ca="1">IF(C103=$X$4,IF(ISERROR($V103),"Enter smelter details","RMI"),IF(ISERROR($V103),"",OFFSET('Smelter Look-up'!$F$4,$V103-4,0)))</f>
        <v>RMI</v>
      </c>
      <c r="H103" s="183">
        <f ca="1">IF(ISERROR($V103),"",OFFSET('Smelter Look-up'!$G$4,$V103-4,0))</f>
        <v>0</v>
      </c>
      <c r="I103" s="184" t="str">
        <f ca="1">IF(ISERROR($V103),"",OFFSET('Smelter Look-up'!$H$4,$V103-4,0))</f>
        <v>Madrid</v>
      </c>
      <c r="J103" s="184" t="str">
        <f ca="1">IF(ISERROR($V103),"",OFFSET('Smelter Look-up'!$I$4,$V103-4,0))</f>
        <v>Madrid, Comunidad de</v>
      </c>
      <c r="K103" s="224"/>
      <c r="L103" s="224"/>
      <c r="M103" s="224"/>
      <c r="N103" s="224"/>
      <c r="O103" s="224"/>
      <c r="P103" s="185"/>
      <c r="Q103" s="225"/>
      <c r="R103" s="182" t="str">
        <f ca="1">IF(ISERROR($V103),"",OFFSET('Smelter Look-up'!$C$4,$V103-4,0)&amp;"")</f>
        <v>SEMPSA Joyeria Plateria S.A.</v>
      </c>
      <c r="S103" s="181" t="str">
        <f t="shared" ca="1" si="15"/>
        <v>ES</v>
      </c>
      <c r="T103" s="181" t="str">
        <f ca="1">IF(B103="","",IF(ISERROR(MATCH($J103,SorP!$B$1:$B$6279,0)),"",INDIRECT("'SorP'!$A$"&amp;MATCH($S103&amp;$J103,SorP!C:C,0))))</f>
        <v>ES-MD</v>
      </c>
      <c r="U103" s="201"/>
      <c r="V103" s="226">
        <f ca="1">IF(C103="",NA(),IF(OR(C103="Smelter not listed",C103="Smelter not yet identified"),MATCH($B103&amp;$D103,'Smelter Look-up'!$J:$J,0),MATCH($B103&amp;$C103,'Smelter Look-up'!$J:$J,0)))</f>
        <v>234</v>
      </c>
      <c r="X103" s="227">
        <f t="shared" ca="1" si="16"/>
        <v>0</v>
      </c>
      <c r="AB103" s="228" t="str">
        <f t="shared" ca="1" si="17"/>
        <v>GoldSEMPSA Joyeria Plateria S.A.</v>
      </c>
    </row>
    <row r="104" spans="1:28" s="227" customFormat="1" ht="50.4">
      <c r="A104" s="181" t="s">
        <v>15489</v>
      </c>
      <c r="B104" s="182" t="str">
        <f ca="1">IF(LEN(A104)=0,"",INDEX('Smelter Look-up'!$A:$A,MATCH($A104,'Smelter Look-up'!$E:$E,0)))</f>
        <v>Tin</v>
      </c>
      <c r="C104" s="186" t="str">
        <f ca="1">IF(LEN(A104)=0,"",INDEX('Smelter Look-up'!$C:$C,MATCH($A104,'Smelter Look-up'!$E:$E,0)))</f>
        <v>PT Panca Mega Persada</v>
      </c>
      <c r="D104" s="230" t="s">
        <v>15488</v>
      </c>
      <c r="E104" s="182" t="str">
        <f ca="1">IF(ISERROR($V104),"",OFFSET('Smelter Look-up'!$D$4,$V104-4,0)&amp;"")</f>
        <v>INDONESIA</v>
      </c>
      <c r="F104" s="182" t="str">
        <f ca="1">IF(ISERROR($V104),"",OFFSET('Smelter Look-up'!$E$4,$V104-4,0))</f>
        <v>CID001457</v>
      </c>
      <c r="G104" s="182" t="str">
        <f ca="1">IF(C104=$X$4,IF(ISERROR($V104),"Enter smelter details","RMI"),IF(ISERROR($V104),"",OFFSET('Smelter Look-up'!$F$4,$V104-4,0)))</f>
        <v>RMI</v>
      </c>
      <c r="H104" s="183">
        <f ca="1">IF(ISERROR($V104),"",OFFSET('Smelter Look-up'!$G$4,$V104-4,0))</f>
        <v>0</v>
      </c>
      <c r="I104" s="184" t="str">
        <f ca="1">IF(ISERROR($V104),"",OFFSET('Smelter Look-up'!$H$4,$V104-4,0))</f>
        <v>Sungailiat</v>
      </c>
      <c r="J104" s="184" t="str">
        <f ca="1">IF(ISERROR($V104),"",OFFSET('Smelter Look-up'!$I$4,$V104-4,0))</f>
        <v>Kepulauan Bangka Belitung</v>
      </c>
      <c r="K104" s="224"/>
      <c r="L104" s="224"/>
      <c r="M104" s="224"/>
      <c r="N104" s="224"/>
      <c r="O104" s="224"/>
      <c r="P104" s="185"/>
      <c r="Q104" s="225"/>
      <c r="R104" s="182" t="str">
        <f ca="1">IF(ISERROR($V104),"",OFFSET('Smelter Look-up'!$C$4,$V104-4,0)&amp;"")</f>
        <v>PT Panca Mega Persada</v>
      </c>
      <c r="S104" s="181" t="str">
        <f t="shared" ca="1" si="15"/>
        <v>ID</v>
      </c>
      <c r="T104" s="181" t="str">
        <f ca="1">IF(B104="","",IF(ISERROR(MATCH($J104,SorP!$B$1:$B$6279,0)),"",INDIRECT("'SorP'!$A$"&amp;MATCH($S104&amp;$J104,SorP!C:C,0))))</f>
        <v>ID-BB</v>
      </c>
      <c r="U104" s="201"/>
      <c r="V104" s="226">
        <f ca="1">IF(C104="",NA(),IF(OR(C104="Smelter not listed",C104="Smelter not yet identified"),MATCH($B104&amp;$D104,'Smelter Look-up'!$J:$J,0),MATCH($B104&amp;$C104,'Smelter Look-up'!$J:$J,0)))</f>
        <v>502</v>
      </c>
      <c r="X104" s="227">
        <f t="shared" ca="1" si="16"/>
        <v>0</v>
      </c>
      <c r="AB104" s="228" t="str">
        <f t="shared" ca="1" si="17"/>
        <v>TinPT Panca Mega Persada</v>
      </c>
    </row>
    <row r="105" spans="1:28" s="227" customFormat="1" ht="113.4">
      <c r="A105" s="181" t="s">
        <v>743</v>
      </c>
      <c r="B105" s="182" t="str">
        <f ca="1">IF(LEN(A105)=0,"",INDEX('Smelter Look-up'!$A:$A,MATCH($A105,'Smelter Look-up'!$E:$E,0)))</f>
        <v>Gold</v>
      </c>
      <c r="C105" s="186" t="str">
        <f ca="1">IF(LEN(A105)=0,"",INDEX('Smelter Look-up'!$C:$C,MATCH($A105,'Smelter Look-up'!$E:$E,0)))</f>
        <v>Zhongyuan Gold Smelter of Zhongjin Gold Corporation</v>
      </c>
      <c r="D105" s="230" t="s">
        <v>1320</v>
      </c>
      <c r="E105" s="182" t="str">
        <f ca="1">IF(ISERROR($V105),"",OFFSET('Smelter Look-up'!$D$4,$V105-4,0)&amp;"")</f>
        <v>CHINA</v>
      </c>
      <c r="F105" s="182" t="str">
        <f ca="1">IF(ISERROR($V105),"",OFFSET('Smelter Look-up'!$E$4,$V105-4,0))</f>
        <v>CID002224</v>
      </c>
      <c r="G105" s="182" t="str">
        <f ca="1">IF(C105=$X$4,IF(ISERROR($V105),"Enter smelter details","RMI"),IF(ISERROR($V105),"",OFFSET('Smelter Look-up'!$F$4,$V105-4,0)))</f>
        <v>RMI</v>
      </c>
      <c r="H105" s="183">
        <f ca="1">IF(ISERROR($V105),"",OFFSET('Smelter Look-up'!$G$4,$V105-4,0))</f>
        <v>0</v>
      </c>
      <c r="I105" s="184" t="str">
        <f ca="1">IF(ISERROR($V105),"",OFFSET('Smelter Look-up'!$H$4,$V105-4,0))</f>
        <v>Sanmenxia</v>
      </c>
      <c r="J105" s="184" t="str">
        <f ca="1">IF(ISERROR($V105),"",OFFSET('Smelter Look-up'!$I$4,$V105-4,0))</f>
        <v>Henan Sheng</v>
      </c>
      <c r="K105" s="224"/>
      <c r="L105" s="224"/>
      <c r="M105" s="224"/>
      <c r="N105" s="224"/>
      <c r="O105" s="224"/>
      <c r="P105" s="185"/>
      <c r="Q105" s="225"/>
      <c r="R105" s="182" t="str">
        <f ca="1">IF(ISERROR($V105),"",OFFSET('Smelter Look-up'!$C$4,$V105-4,0)&amp;"")</f>
        <v>Zhongyuan Gold Smelter of Zhongjin Gold Corporation</v>
      </c>
      <c r="S105" s="181" t="str">
        <f t="shared" ca="1" si="15"/>
        <v>CN</v>
      </c>
      <c r="T105" s="181" t="str">
        <f ca="1">IF(B105="","",IF(ISERROR(MATCH($J105,SorP!$B$1:$B$6279,0)),"",INDIRECT("'SorP'!$A$"&amp;MATCH($S105&amp;$J105,SorP!C:C,0))))</f>
        <v>CN-HA</v>
      </c>
      <c r="U105" s="201"/>
      <c r="V105" s="226">
        <f ca="1">IF(C105="",NA(),IF(OR(C105="Smelter not listed",C105="Smelter not yet identified"),MATCH($B105&amp;$D105,'Smelter Look-up'!$J:$J,0),MATCH($B105&amp;$C105,'Smelter Look-up'!$J:$J,0)))</f>
        <v>316</v>
      </c>
      <c r="X105" s="227">
        <f t="shared" ca="1" si="16"/>
        <v>0</v>
      </c>
      <c r="AB105" s="228" t="str">
        <f t="shared" ca="1" si="17"/>
        <v>GoldZhongyuan Gold Smelter of Zhongjin Gold Corporation</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774BD2-A1B8-4656-BC70-5F2E45A544D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GSPK Circuits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Faye Appleton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faye.appleton@gspkcircuits.ltd.uk</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01423 798740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Faye Appleton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faye.appleton@gspkcircuits.ltd.uk</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45113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434AABF-5771-4D43-B2C7-C9DE46FEEAC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1D7FF2F-A018-4878-8D6A-4113F5FA0EB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Faye Appleton</cp:lastModifiedBy>
  <cp:lastPrinted>2015-04-21T20:47:43Z</cp:lastPrinted>
  <dcterms:created xsi:type="dcterms:W3CDTF">2010-06-21T21:00:23Z</dcterms:created>
  <dcterms:modified xsi:type="dcterms:W3CDTF">2023-07-06T08:18:14Z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